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ctrlProps/ctrlProp12.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4\"/>
    </mc:Choice>
  </mc:AlternateContent>
  <workbookProtection lockStructure="1"/>
  <bookViews>
    <workbookView xWindow="0" yWindow="0" windowWidth="28800" windowHeight="11835" tabRatio="674" activeTab="9"/>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6" i="1" l="1"/>
  <c r="K79" i="2"/>
  <c r="M107" i="1" l="1"/>
  <c r="N30" i="1" l="1"/>
  <c r="L36" i="1"/>
  <c r="K36" i="1"/>
  <c r="L30" i="1"/>
  <c r="K30" i="1"/>
  <c r="K38" i="2"/>
  <c r="M117" i="1"/>
  <c r="M154" i="1"/>
  <c r="K70" i="1"/>
  <c r="M148" i="1" l="1"/>
  <c r="K66" i="1"/>
  <c r="K46" i="2"/>
  <c r="K122" i="2"/>
  <c r="K90" i="2"/>
  <c r="K65" i="2"/>
  <c r="K56" i="2"/>
  <c r="K55" i="2"/>
  <c r="K54" i="2"/>
  <c r="K50" i="2"/>
  <c r="K49" i="2"/>
  <c r="K45" i="2"/>
  <c r="K44" i="2"/>
  <c r="K42" i="2"/>
  <c r="K41" i="2"/>
  <c r="K40" i="2"/>
  <c r="K24" i="2"/>
  <c r="K85" i="8"/>
  <c r="K73" i="8"/>
  <c r="K67" i="8"/>
  <c r="K53" i="8"/>
  <c r="K32" i="8"/>
  <c r="K31" i="8"/>
  <c r="K30" i="8"/>
  <c r="K29" i="8"/>
  <c r="K27" i="8"/>
  <c r="K22" i="8"/>
  <c r="L31" i="1" l="1"/>
  <c r="M162" i="1"/>
  <c r="M156" i="1"/>
  <c r="M155" i="1"/>
  <c r="M153" i="1"/>
  <c r="M150" i="1"/>
  <c r="M149" i="1"/>
  <c r="M141" i="1"/>
  <c r="M137" i="1"/>
  <c r="M126" i="1"/>
  <c r="K87" i="1"/>
  <c r="K85" i="1"/>
  <c r="K83" i="1"/>
  <c r="L66" i="1"/>
  <c r="L58" i="1"/>
  <c r="K58" i="1"/>
  <c r="K34" i="1"/>
  <c r="K31" i="1"/>
  <c r="L24" i="1"/>
  <c r="K24" i="1"/>
  <c r="K143" i="2" l="1"/>
  <c r="K144" i="2" l="1"/>
  <c r="N35" i="10" l="1"/>
  <c r="J35" i="10"/>
  <c r="N34" i="10"/>
  <c r="J34" i="10"/>
  <c r="N162" i="1" l="1"/>
  <c r="N158" i="1"/>
  <c r="N157" i="1"/>
  <c r="N156" i="1"/>
  <c r="N155" i="1"/>
  <c r="N154" i="1"/>
  <c r="N153" i="1"/>
  <c r="N152" i="1"/>
  <c r="N149" i="1"/>
  <c r="N148" i="1"/>
  <c r="N142" i="1"/>
  <c r="N141" i="1"/>
  <c r="N137" i="1"/>
  <c r="N133" i="1"/>
  <c r="N126" i="1"/>
  <c r="N117" i="1"/>
  <c r="N116" i="1"/>
  <c r="N107" i="1"/>
  <c r="B100" i="38" l="1"/>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64" i="2"/>
  <c r="L59" i="2"/>
  <c r="L48" i="2"/>
  <c r="L47" i="2" s="1"/>
  <c r="L43" i="2"/>
  <c r="L30" i="2"/>
  <c r="L26" i="2"/>
  <c r="L22" i="2"/>
  <c r="K133" i="2"/>
  <c r="K130" i="2"/>
  <c r="K114" i="2"/>
  <c r="K107" i="2"/>
  <c r="K101" i="2"/>
  <c r="K94" i="2"/>
  <c r="K81" i="2"/>
  <c r="K71" i="2"/>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6" i="1"/>
  <c r="M35" i="1"/>
  <c r="M34" i="1"/>
  <c r="M33" i="1"/>
  <c r="M32" i="1"/>
  <c r="M31" i="1"/>
  <c r="M30" i="1"/>
  <c r="M29" i="1"/>
  <c r="M27" i="1"/>
  <c r="M26" i="1"/>
  <c r="M25" i="1"/>
  <c r="M24" i="1"/>
  <c r="M23" i="1"/>
  <c r="L81" i="1"/>
  <c r="K81" i="1"/>
  <c r="K73" i="1"/>
  <c r="K72" i="1" s="1"/>
  <c r="N92" i="1"/>
  <c r="M92" i="1"/>
  <c r="AA8" i="33"/>
  <c r="AA14" i="33"/>
  <c r="F67" i="35"/>
  <c r="I67" i="35"/>
  <c r="K91" i="2" l="1"/>
  <c r="K92" i="2"/>
  <c r="L91" i="2"/>
  <c r="L92" i="2"/>
  <c r="L106" i="2"/>
  <c r="L120" i="2" s="1"/>
  <c r="L93" i="2"/>
  <c r="L125" i="2" s="1"/>
  <c r="L39" i="2"/>
  <c r="L21" i="2"/>
  <c r="K106" i="2"/>
  <c r="K120" i="2" s="1"/>
  <c r="K93" i="2"/>
  <c r="K39" i="2"/>
  <c r="K126" i="2" s="1"/>
  <c r="K21" i="2"/>
  <c r="N42" i="1"/>
  <c r="AA17" i="33"/>
  <c r="AA11" i="33"/>
  <c r="AA3" i="33"/>
  <c r="L73" i="1"/>
  <c r="M73" i="1" s="1"/>
  <c r="J37" i="14"/>
  <c r="G109" i="31"/>
  <c r="C91" i="14" s="1"/>
  <c r="G110" i="31"/>
  <c r="C92" i="14" s="1"/>
  <c r="H109" i="31"/>
  <c r="H110" i="31"/>
  <c r="I109" i="31"/>
  <c r="I110" i="31"/>
  <c r="G108" i="31"/>
  <c r="C90" i="14" s="1"/>
  <c r="H108" i="31"/>
  <c r="I108" i="31"/>
  <c r="G107" i="31"/>
  <c r="C89" i="14" s="1"/>
  <c r="H107" i="31"/>
  <c r="I107" i="31"/>
  <c r="L126" i="2" l="1"/>
  <c r="K137" i="2"/>
  <c r="K125" i="2"/>
  <c r="L119" i="2"/>
  <c r="K119" i="2"/>
  <c r="K127" i="2"/>
  <c r="K128" i="2"/>
  <c r="K136" i="2"/>
  <c r="K70" i="2"/>
  <c r="K69" i="2"/>
  <c r="K58" i="2"/>
  <c r="K57" i="2"/>
  <c r="L127" i="2"/>
  <c r="L137" i="2"/>
  <c r="L136" i="2"/>
  <c r="L128" i="2"/>
  <c r="L58" i="2"/>
  <c r="L57" i="2"/>
  <c r="L70" i="2"/>
  <c r="L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K65" i="1" l="1"/>
  <c r="L65" i="1"/>
  <c r="L72" i="1"/>
  <c r="M72" i="1" s="1"/>
  <c r="N124" i="1"/>
  <c r="M124" i="1"/>
  <c r="K22" i="36"/>
  <c r="L22" i="36"/>
  <c r="H170" i="1"/>
  <c r="M65" i="1" l="1"/>
  <c r="L64" i="1"/>
  <c r="K64" i="1"/>
  <c r="G89" i="31"/>
  <c r="G88" i="31"/>
  <c r="L57" i="1"/>
  <c r="G93" i="31"/>
  <c r="G92" i="31"/>
  <c r="G91" i="31"/>
  <c r="G90" i="31"/>
  <c r="I6" i="31"/>
  <c r="G6" i="31"/>
  <c r="B51" i="32" s="1" a="1"/>
  <c r="B51" i="32" s="1"/>
  <c r="H6" i="31"/>
  <c r="M64" i="1" l="1"/>
  <c r="M139" i="1"/>
  <c r="M146" i="1"/>
  <c r="N146" i="1"/>
  <c r="K37" i="1" l="1"/>
  <c r="N37" i="1"/>
  <c r="L37" i="1"/>
  <c r="M37" i="1" s="1"/>
  <c r="L29" i="36"/>
  <c r="L36" i="36" s="1"/>
  <c r="K29" i="36"/>
  <c r="K36" i="36" s="1"/>
  <c r="P29" i="10" l="1"/>
  <c r="K45" i="10"/>
  <c r="K45" i="1"/>
  <c r="L45" i="1"/>
  <c r="M45" i="1" s="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D89" i="1" s="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M115" i="1"/>
  <c r="N110" i="1"/>
  <c r="M110" i="1"/>
  <c r="H45" i="10"/>
  <c r="I29" i="10"/>
  <c r="I37" i="10" s="1"/>
  <c r="I41" i="10" s="1"/>
  <c r="I53" i="10" s="1"/>
  <c r="J29" i="10"/>
  <c r="J37" i="10" s="1"/>
  <c r="J41" i="10" s="1"/>
  <c r="J53" i="10" s="1"/>
  <c r="K29" i="10"/>
  <c r="K37" i="10" s="1"/>
  <c r="K41" i="10" s="1"/>
  <c r="K53" i="10" s="1"/>
  <c r="L29" i="10"/>
  <c r="M29" i="10"/>
  <c r="M37" i="10" s="1"/>
  <c r="M41" i="10" s="1"/>
  <c r="M53" i="10" s="1"/>
  <c r="N29" i="10"/>
  <c r="H29" i="10"/>
  <c r="H93" i="31"/>
  <c r="I93" i="31"/>
  <c r="L38" i="36" l="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K22" i="1"/>
  <c r="L42" i="1" l="1"/>
  <c r="M42" i="1" s="1"/>
  <c r="M50" i="1"/>
  <c r="L56" i="1"/>
  <c r="M56" i="1" s="1"/>
  <c r="N22" i="1"/>
  <c r="L22" i="1"/>
  <c r="M22" i="1" s="1"/>
  <c r="N28" i="1"/>
  <c r="K28" i="1"/>
  <c r="K21" i="1" s="1"/>
  <c r="K86" i="1" s="1"/>
  <c r="I73" i="31"/>
  <c r="J18" i="8"/>
  <c r="H73" i="31"/>
  <c r="J18" i="1" l="1" a="1"/>
  <c r="J18" i="1" s="1"/>
  <c r="J18" i="36"/>
  <c r="J18" i="2"/>
  <c r="E24" i="37"/>
  <c r="G24" i="37"/>
  <c r="E35" i="37"/>
  <c r="G35" i="37"/>
  <c r="AA4" i="33"/>
  <c r="AA5" i="33"/>
  <c r="AA6" i="33"/>
  <c r="AA9" i="33"/>
  <c r="AA13" i="33"/>
  <c r="AA15" i="33"/>
  <c r="AA18" i="33"/>
  <c r="AA20" i="33"/>
  <c r="AA21" i="33"/>
  <c r="AA22" i="33"/>
  <c r="AA23" i="33"/>
  <c r="AA24" i="33"/>
  <c r="AA25" i="33"/>
  <c r="AA26" i="33"/>
  <c r="AA27" i="33"/>
  <c r="AA28" i="33"/>
  <c r="AA29" i="33"/>
  <c r="G69" i="38"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I100" i="1" l="1"/>
  <c r="I162" i="1"/>
  <c r="I150" i="1"/>
  <c r="I138" i="1"/>
  <c r="I126" i="1"/>
  <c r="I114" i="1"/>
  <c r="I102" i="1"/>
  <c r="I149" i="1"/>
  <c r="I113" i="1"/>
  <c r="I106" i="1"/>
  <c r="I128" i="1"/>
  <c r="I137" i="1"/>
  <c r="I101" i="1"/>
  <c r="I160" i="1"/>
  <c r="I148" i="1"/>
  <c r="I136" i="1"/>
  <c r="I124" i="1"/>
  <c r="I112" i="1"/>
  <c r="I159" i="1"/>
  <c r="I147" i="1"/>
  <c r="I135" i="1"/>
  <c r="I123" i="1"/>
  <c r="I111" i="1"/>
  <c r="I158" i="1"/>
  <c r="I146" i="1"/>
  <c r="I134" i="1"/>
  <c r="I122" i="1"/>
  <c r="I110" i="1"/>
  <c r="I118" i="1"/>
  <c r="I157" i="1"/>
  <c r="I145" i="1"/>
  <c r="I133" i="1"/>
  <c r="I121" i="1"/>
  <c r="I109" i="1"/>
  <c r="I130" i="1"/>
  <c r="I152" i="1"/>
  <c r="I156" i="1"/>
  <c r="I144" i="1"/>
  <c r="I132" i="1"/>
  <c r="I120" i="1"/>
  <c r="I108" i="1"/>
  <c r="I154" i="1"/>
  <c r="I104" i="1"/>
  <c r="I155" i="1"/>
  <c r="I143" i="1"/>
  <c r="I131" i="1"/>
  <c r="I119" i="1"/>
  <c r="I107" i="1"/>
  <c r="I142" i="1"/>
  <c r="I153" i="1"/>
  <c r="I141" i="1"/>
  <c r="I129" i="1"/>
  <c r="I117" i="1"/>
  <c r="I105" i="1"/>
  <c r="I140" i="1"/>
  <c r="I151" i="1"/>
  <c r="I139" i="1"/>
  <c r="I127" i="1"/>
  <c r="I115" i="1"/>
  <c r="I103" i="1"/>
  <c r="I161" i="1"/>
  <c r="I125" i="1"/>
  <c r="I116" i="1"/>
  <c r="G20" i="10"/>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G50" i="35"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H128" i="35" s="1"/>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5" i="33"/>
  <c r="B108" i="32"/>
  <c r="D66" i="8"/>
  <c r="D27" i="14"/>
  <c r="D33" i="14"/>
  <c r="D56" i="14"/>
  <c r="D52" i="14"/>
  <c r="D64" i="8"/>
  <c r="D57" i="14"/>
  <c r="C59" i="8"/>
  <c r="D25" i="14"/>
  <c r="D53" i="14"/>
  <c r="D65" i="8"/>
  <c r="D22" i="14"/>
  <c r="D62" i="8"/>
  <c r="D31" i="14"/>
  <c r="D43" i="14"/>
  <c r="D54" i="14"/>
  <c r="D47" i="14"/>
  <c r="D62" i="14"/>
  <c r="D85" i="14"/>
  <c r="D86" i="14"/>
  <c r="H140" i="35"/>
  <c r="H285" i="35"/>
  <c r="H349" i="35"/>
  <c r="H157" i="35"/>
  <c r="H254"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H111" i="35" l="1"/>
  <c r="Y6" i="33"/>
  <c r="B14" i="37"/>
  <c r="H238" i="35"/>
  <c r="H195" i="35"/>
  <c r="H290" i="35"/>
  <c r="Y37" i="32"/>
  <c r="C64" i="38"/>
  <c r="C52" i="38"/>
  <c r="C63" i="38"/>
  <c r="C51" i="38"/>
  <c r="C62" i="38"/>
  <c r="C50" i="38"/>
  <c r="C61" i="38"/>
  <c r="C60" i="38"/>
  <c r="C59" i="38"/>
  <c r="C58" i="38"/>
  <c r="C57" i="38"/>
  <c r="C56" i="38"/>
  <c r="C55" i="38"/>
  <c r="C54" i="38"/>
  <c r="C53" i="38"/>
  <c r="C181" i="38"/>
  <c r="C157" i="38"/>
  <c r="C133" i="38"/>
  <c r="C109" i="38"/>
  <c r="C85" i="38"/>
  <c r="C198" i="38"/>
  <c r="C174" i="38"/>
  <c r="C150" i="38"/>
  <c r="C126" i="38"/>
  <c r="C102" i="38"/>
  <c r="C78" i="38"/>
  <c r="C179" i="38"/>
  <c r="C155" i="38"/>
  <c r="C131" i="38"/>
  <c r="C107" i="38"/>
  <c r="C83" i="38"/>
  <c r="C196" i="38"/>
  <c r="C172" i="38"/>
  <c r="C148" i="38"/>
  <c r="C124" i="38"/>
  <c r="C100" i="38"/>
  <c r="C76" i="38"/>
  <c r="C177" i="38"/>
  <c r="C153" i="38"/>
  <c r="C129" i="38"/>
  <c r="C105" i="38"/>
  <c r="C81" i="38"/>
  <c r="C194" i="38"/>
  <c r="C170" i="38"/>
  <c r="C146" i="38"/>
  <c r="C122" i="38"/>
  <c r="C98" i="38"/>
  <c r="C74" i="38"/>
  <c r="C199" i="38"/>
  <c r="C175" i="38"/>
  <c r="C151" i="38"/>
  <c r="C127" i="38"/>
  <c r="C103" i="38"/>
  <c r="C79" i="38"/>
  <c r="C192" i="38"/>
  <c r="C168" i="38"/>
  <c r="C144" i="38"/>
  <c r="C120" i="38"/>
  <c r="C96" i="38"/>
  <c r="C72" i="38"/>
  <c r="C197" i="38"/>
  <c r="C173" i="38"/>
  <c r="C149" i="38"/>
  <c r="C125" i="38"/>
  <c r="C101" i="38"/>
  <c r="C77" i="38"/>
  <c r="C190" i="38"/>
  <c r="C166" i="38"/>
  <c r="C142" i="38"/>
  <c r="C118" i="38"/>
  <c r="C94" i="38"/>
  <c r="C70" i="38"/>
  <c r="C195" i="38"/>
  <c r="C171" i="38"/>
  <c r="C147" i="38"/>
  <c r="C123" i="38"/>
  <c r="C99" i="38"/>
  <c r="C75" i="38"/>
  <c r="C188" i="38"/>
  <c r="C164" i="38"/>
  <c r="C140" i="38"/>
  <c r="C116" i="38"/>
  <c r="C92" i="38"/>
  <c r="C68" i="38"/>
  <c r="C193" i="38"/>
  <c r="C169" i="38"/>
  <c r="C145" i="38"/>
  <c r="C121" i="38"/>
  <c r="C97" i="38"/>
  <c r="C73" i="38"/>
  <c r="C186" i="38"/>
  <c r="C162" i="38"/>
  <c r="C138" i="38"/>
  <c r="C114" i="38"/>
  <c r="C90" i="38"/>
  <c r="C66" i="38"/>
  <c r="C191" i="38"/>
  <c r="C167" i="38"/>
  <c r="C143" i="38"/>
  <c r="C119" i="38"/>
  <c r="C95" i="38"/>
  <c r="C71" i="38"/>
  <c r="C184" i="38"/>
  <c r="C160" i="38"/>
  <c r="C136" i="38"/>
  <c r="C112" i="38"/>
  <c r="C88" i="38"/>
  <c r="B67" i="35"/>
  <c r="C189" i="38"/>
  <c r="C165" i="38"/>
  <c r="C141" i="38"/>
  <c r="C117" i="38"/>
  <c r="C93" i="38"/>
  <c r="C69" i="38"/>
  <c r="C182" i="38"/>
  <c r="C158" i="38"/>
  <c r="C134" i="38"/>
  <c r="C110" i="38"/>
  <c r="C86" i="38"/>
  <c r="O3" i="33" a="1"/>
  <c r="O3" i="33" s="1"/>
  <c r="C187" i="38"/>
  <c r="C163" i="38"/>
  <c r="C139" i="38"/>
  <c r="C115" i="38"/>
  <c r="C91" i="38"/>
  <c r="C67" i="38"/>
  <c r="C180" i="38"/>
  <c r="C156" i="38"/>
  <c r="C132" i="38"/>
  <c r="C108" i="38"/>
  <c r="C84" i="38"/>
  <c r="P3" i="33" a="1"/>
  <c r="P3" i="33" s="1"/>
  <c r="C185" i="38"/>
  <c r="C161" i="38"/>
  <c r="C137" i="38"/>
  <c r="C113" i="38"/>
  <c r="C89" i="38"/>
  <c r="C65" i="38"/>
  <c r="C178" i="38"/>
  <c r="C154" i="38"/>
  <c r="C130" i="38"/>
  <c r="C106" i="38"/>
  <c r="C82" i="38"/>
  <c r="C183" i="38"/>
  <c r="C159" i="38"/>
  <c r="C135" i="38"/>
  <c r="C111" i="38"/>
  <c r="C87" i="38"/>
  <c r="C200" i="38"/>
  <c r="C176" i="38"/>
  <c r="C152" i="38"/>
  <c r="C128" i="38"/>
  <c r="C104" i="38"/>
  <c r="C80" i="38"/>
  <c r="G353" i="35"/>
  <c r="H11" i="37"/>
  <c r="G239" i="35"/>
  <c r="G360" i="35"/>
  <c r="G210" i="35"/>
  <c r="G361" i="35"/>
  <c r="G338" i="35"/>
  <c r="G206" i="35"/>
  <c r="G13" i="35"/>
  <c r="G152" i="35"/>
  <c r="G271" i="35"/>
  <c r="G55" i="35"/>
  <c r="G188" i="35"/>
  <c r="H5" i="37"/>
  <c r="G340" i="35"/>
  <c r="G358" i="35"/>
  <c r="G356" i="35"/>
  <c r="G310" i="35"/>
  <c r="G180" i="35"/>
  <c r="H4" i="37"/>
  <c r="G125" i="35"/>
  <c r="G245" i="35"/>
  <c r="G27" i="35"/>
  <c r="G150" i="35"/>
  <c r="G182" i="35"/>
  <c r="G343" i="35"/>
  <c r="G17" i="35"/>
  <c r="G282" i="35"/>
  <c r="G192" i="35"/>
  <c r="H9" i="37"/>
  <c r="G345" i="35"/>
  <c r="G349" i="35"/>
  <c r="G177" i="35"/>
  <c r="G306" i="35"/>
  <c r="G121" i="35"/>
  <c r="G241" i="35"/>
  <c r="G23" i="35"/>
  <c r="G146" i="35"/>
  <c r="G363" i="35"/>
  <c r="G92" i="35"/>
  <c r="G355" i="35"/>
  <c r="G341" i="35"/>
  <c r="G149" i="35"/>
  <c r="G279" i="35"/>
  <c r="G93" i="35"/>
  <c r="G198" i="35"/>
  <c r="H14" i="37"/>
  <c r="G119" i="35"/>
  <c r="G243" i="35"/>
  <c r="G49" i="35"/>
  <c r="G186" i="35"/>
  <c r="G228" i="35"/>
  <c r="G45" i="35"/>
  <c r="H7" i="37"/>
  <c r="G225" i="35"/>
  <c r="G18" i="35"/>
  <c r="G59" i="35"/>
  <c r="G352" i="35"/>
  <c r="G337" i="35"/>
  <c r="G145" i="35"/>
  <c r="G276" i="35"/>
  <c r="G89" i="35"/>
  <c r="G193" i="35"/>
  <c r="H10" i="37"/>
  <c r="G115" i="35"/>
  <c r="G156" i="35"/>
  <c r="G339" i="35"/>
  <c r="G309" i="35"/>
  <c r="G114" i="35"/>
  <c r="G252" i="35"/>
  <c r="G56" i="35"/>
  <c r="G166" i="35"/>
  <c r="G292" i="35"/>
  <c r="G87" i="35"/>
  <c r="G96" i="35"/>
  <c r="G335" i="35"/>
  <c r="G307" i="35"/>
  <c r="G110" i="35"/>
  <c r="G246" i="35"/>
  <c r="G160" i="35"/>
  <c r="G289" i="35"/>
  <c r="G83" i="35"/>
  <c r="D62" i="31"/>
  <c r="G323" i="35"/>
  <c r="G280" i="35"/>
  <c r="G82" i="35"/>
  <c r="G217" i="35"/>
  <c r="G24" i="35"/>
  <c r="G128" i="35"/>
  <c r="G260" i="35"/>
  <c r="G54" i="35"/>
  <c r="G22" i="35"/>
  <c r="C62" i="31"/>
  <c r="G52" i="35"/>
  <c r="G319" i="35"/>
  <c r="G277" i="35"/>
  <c r="G78" i="35"/>
  <c r="G213" i="35"/>
  <c r="G20" i="35"/>
  <c r="G124" i="35"/>
  <c r="G256" i="35"/>
  <c r="L21" i="1"/>
  <c r="M21" i="1" s="1"/>
  <c r="M28"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E356" i="38"/>
  <c r="F210" i="38"/>
  <c r="F219" i="38"/>
  <c r="E398" i="38"/>
  <c r="F270" i="38"/>
  <c r="E375" i="38"/>
  <c r="E320" i="38"/>
  <c r="D124" i="38"/>
  <c r="E334" i="38"/>
  <c r="D35" i="38"/>
  <c r="F218" i="38"/>
  <c r="D71" i="38"/>
  <c r="E329" i="38"/>
  <c r="D131" i="38"/>
  <c r="F217" i="38"/>
  <c r="D45" i="38"/>
  <c r="D109" i="38"/>
  <c r="E337" i="38"/>
  <c r="D54" i="38"/>
  <c r="D25" i="38"/>
  <c r="D138" i="38"/>
  <c r="F213" i="38"/>
  <c r="D86" i="38"/>
  <c r="D65" i="38"/>
  <c r="D53" i="38"/>
  <c r="D63" i="38"/>
  <c r="F284" i="38"/>
  <c r="D85" i="38"/>
  <c r="D115" i="38"/>
  <c r="F229" i="38"/>
  <c r="E372" i="38"/>
  <c r="F253" i="38"/>
  <c r="D134" i="38"/>
  <c r="F269" i="38"/>
  <c r="D83" i="38"/>
  <c r="F261" i="38"/>
  <c r="D133" i="38"/>
  <c r="F235" i="38"/>
  <c r="F204" i="38"/>
  <c r="D81" i="38"/>
  <c r="D67" i="38"/>
  <c r="F300" i="38"/>
  <c r="D56" i="38"/>
  <c r="E369" i="38"/>
  <c r="D43" i="38"/>
  <c r="E395" i="38"/>
  <c r="F215" i="38"/>
  <c r="D49" i="38"/>
  <c r="D111" i="38"/>
  <c r="F286" i="38"/>
  <c r="D23" i="38"/>
  <c r="F207" i="38"/>
  <c r="F298" i="38"/>
  <c r="F223" i="38"/>
  <c r="E335" i="38"/>
  <c r="E382" i="38"/>
  <c r="E365" i="38"/>
  <c r="F266" i="38"/>
  <c r="F244" i="38"/>
  <c r="D57" i="38"/>
  <c r="D64" i="38"/>
  <c r="E314" i="38"/>
  <c r="D137" i="38"/>
  <c r="E363" i="38"/>
  <c r="D40" i="38"/>
  <c r="E347" i="38"/>
  <c r="E352" i="38"/>
  <c r="D84" i="38"/>
  <c r="F275" i="38"/>
  <c r="F249" i="38"/>
  <c r="D101" i="38"/>
  <c r="E359" i="38"/>
  <c r="E310" i="38"/>
  <c r="D97" i="38"/>
  <c r="E385" i="38"/>
  <c r="F203" i="38"/>
  <c r="F267" i="38"/>
  <c r="E377" i="38"/>
  <c r="F216" i="38"/>
  <c r="D129" i="38"/>
  <c r="D41" i="38"/>
  <c r="F268" i="38"/>
  <c r="F272" i="38"/>
  <c r="D92" i="38"/>
  <c r="F236" i="38"/>
  <c r="E326" i="38"/>
  <c r="D50" i="38"/>
  <c r="E311" i="38"/>
  <c r="E306" i="38"/>
  <c r="E319" i="38"/>
  <c r="E368" i="38"/>
  <c r="D128" i="38"/>
  <c r="F221" i="38"/>
  <c r="F262" i="38"/>
  <c r="E317" i="38"/>
  <c r="F225" i="38"/>
  <c r="D98" i="38"/>
  <c r="F276" i="38"/>
  <c r="D108" i="38"/>
  <c r="E325" i="38"/>
  <c r="D89" i="38"/>
  <c r="F212" i="38"/>
  <c r="F291" i="38"/>
  <c r="D32" i="38"/>
  <c r="E393" i="38"/>
  <c r="E308" i="38"/>
  <c r="F224" i="38"/>
  <c r="E396" i="38"/>
  <c r="F240" i="38"/>
  <c r="F292" i="38"/>
  <c r="D79" i="38"/>
  <c r="D27" i="38"/>
  <c r="D69" i="38"/>
  <c r="E309" i="38"/>
  <c r="F289" i="38"/>
  <c r="F260" i="38"/>
  <c r="F230" i="38"/>
  <c r="D123" i="38"/>
  <c r="F231" i="38"/>
  <c r="E386" i="38"/>
  <c r="E302" i="38"/>
  <c r="F295" i="38"/>
  <c r="F214" i="38"/>
  <c r="F280" i="38"/>
  <c r="E387" i="38"/>
  <c r="F278" i="38"/>
  <c r="F206" i="38"/>
  <c r="F282" i="38"/>
  <c r="F255" i="38"/>
  <c r="D29" i="38"/>
  <c r="F242" i="38"/>
  <c r="E341" i="38"/>
  <c r="D30" i="38"/>
  <c r="D118" i="38"/>
  <c r="D114" i="38"/>
  <c r="D116" i="38"/>
  <c r="E349" i="38"/>
  <c r="E301" i="38"/>
  <c r="F211" i="38"/>
  <c r="E380" i="38"/>
  <c r="D47" i="38"/>
  <c r="F288" i="38"/>
  <c r="E330" i="38"/>
  <c r="D76" i="38"/>
  <c r="E367" i="38"/>
  <c r="D96" i="38"/>
  <c r="D126" i="38"/>
  <c r="D122" i="38"/>
  <c r="F200" i="38"/>
  <c r="E397" i="38"/>
  <c r="E388" i="38"/>
  <c r="E328" i="38"/>
  <c r="E342" i="38"/>
  <c r="D120" i="38"/>
  <c r="E307" i="38"/>
  <c r="F245" i="38"/>
  <c r="E336" i="38"/>
  <c r="F202" i="38"/>
  <c r="E354" i="38"/>
  <c r="E323" i="38"/>
  <c r="D28" i="38"/>
  <c r="F234" i="38"/>
  <c r="E327" i="38"/>
  <c r="D100" i="38"/>
  <c r="E321" i="38"/>
  <c r="F285" i="38"/>
  <c r="E304" i="38"/>
  <c r="D22" i="38"/>
  <c r="F264" i="38"/>
  <c r="E373" i="38"/>
  <c r="F227" i="38"/>
  <c r="F250" i="38"/>
  <c r="E351" i="38"/>
  <c r="D110" i="38"/>
  <c r="F232" i="38"/>
  <c r="D72" i="38"/>
  <c r="D107" i="38"/>
  <c r="D33" i="38"/>
  <c r="E370" i="38"/>
  <c r="E390" i="38"/>
  <c r="E303" i="38"/>
  <c r="D42" i="38"/>
  <c r="D127" i="38"/>
  <c r="D24" i="38"/>
  <c r="E338" i="38"/>
  <c r="F263" i="38"/>
  <c r="F233" i="38"/>
  <c r="E357" i="38"/>
  <c r="D82" i="38"/>
  <c r="E400" i="38"/>
  <c r="D104" i="38"/>
  <c r="D34" i="38"/>
  <c r="F222" i="38"/>
  <c r="E316" i="38"/>
  <c r="E332" i="38"/>
  <c r="F297" i="38"/>
  <c r="E376" i="38"/>
  <c r="E355" i="38"/>
  <c r="D80" i="38"/>
  <c r="D87" i="38"/>
  <c r="D103" i="38"/>
  <c r="D36" i="38"/>
  <c r="D48" i="38"/>
  <c r="D60" i="38"/>
  <c r="E384" i="38"/>
  <c r="D37" i="38"/>
  <c r="E381" i="38"/>
  <c r="F239" i="38"/>
  <c r="D99" i="38"/>
  <c r="E389" i="38"/>
  <c r="E305" i="38"/>
  <c r="E313" i="38"/>
  <c r="E392" i="38"/>
  <c r="F228" i="38"/>
  <c r="D51" i="38"/>
  <c r="D130" i="38"/>
  <c r="F294" i="38"/>
  <c r="F281" i="38"/>
  <c r="E360" i="38"/>
  <c r="F220" i="38"/>
  <c r="D59" i="38"/>
  <c r="D119" i="38"/>
  <c r="D102" i="38"/>
  <c r="D90" i="38"/>
  <c r="D95" i="38"/>
  <c r="F271" i="38"/>
  <c r="D46" i="38"/>
  <c r="D125" i="38"/>
  <c r="E312" i="38"/>
  <c r="F296" i="38"/>
  <c r="D105" i="38"/>
  <c r="F290" i="38"/>
  <c r="E318" i="38"/>
  <c r="F251" i="38"/>
  <c r="F208" i="38"/>
  <c r="F274" i="38"/>
  <c r="E379" i="38"/>
  <c r="D55" i="38"/>
  <c r="D77" i="38"/>
  <c r="F201" i="38"/>
  <c r="D136" i="38"/>
  <c r="D62" i="38"/>
  <c r="F279" i="38"/>
  <c r="F299" i="38"/>
  <c r="F252" i="38"/>
  <c r="D58" i="38"/>
  <c r="F258" i="38"/>
  <c r="D26" i="38"/>
  <c r="E343" i="38"/>
  <c r="F256" i="38"/>
  <c r="D52" i="38"/>
  <c r="D78" i="38"/>
  <c r="E348" i="38"/>
  <c r="F273" i="38"/>
  <c r="E322" i="38"/>
  <c r="E300" i="38"/>
  <c r="F248" i="38"/>
  <c r="E374" i="38"/>
  <c r="D31" i="38"/>
  <c r="E362" i="38"/>
  <c r="F257" i="38"/>
  <c r="F283" i="38"/>
  <c r="E371" i="38"/>
  <c r="F259" i="38"/>
  <c r="D73" i="38"/>
  <c r="D93" i="38"/>
  <c r="F237" i="38"/>
  <c r="E378" i="38"/>
  <c r="D70" i="38"/>
  <c r="F293" i="38"/>
  <c r="D135" i="38"/>
  <c r="E345" i="38"/>
  <c r="E340" i="38"/>
  <c r="E399" i="38"/>
  <c r="D113" i="38"/>
  <c r="E346" i="38"/>
  <c r="D61" i="38"/>
  <c r="F287" i="38"/>
  <c r="D21" i="38"/>
  <c r="F246" i="38"/>
  <c r="E394" i="38"/>
  <c r="F226" i="38"/>
  <c r="F277" i="38"/>
  <c r="E324" i="38"/>
  <c r="D66" i="38"/>
  <c r="E333" i="38"/>
  <c r="D88" i="38"/>
  <c r="F254" i="38"/>
  <c r="D38" i="38"/>
  <c r="E315" i="38"/>
  <c r="D39" i="38"/>
  <c r="E339" i="38"/>
  <c r="D121" i="38"/>
  <c r="F238" i="38"/>
  <c r="E353" i="38"/>
  <c r="D117" i="38"/>
  <c r="D132" i="38"/>
  <c r="E331" i="38"/>
  <c r="E366" i="38"/>
  <c r="D112" i="38"/>
  <c r="D75" i="38"/>
  <c r="E344" i="38"/>
  <c r="E364" i="38"/>
  <c r="F241" i="38"/>
  <c r="D74" i="38"/>
  <c r="F265" i="38"/>
  <c r="D106" i="38"/>
  <c r="E383" i="38"/>
  <c r="F205" i="38"/>
  <c r="E391" i="38"/>
  <c r="D44" i="38"/>
  <c r="D91" i="38"/>
  <c r="F243" i="38"/>
  <c r="E358" i="38"/>
  <c r="D68" i="38"/>
  <c r="F209" i="38"/>
  <c r="E361" i="38"/>
  <c r="E350" i="38"/>
  <c r="F247" i="38"/>
  <c r="D94" i="38"/>
  <c r="G62" i="31" l="1"/>
  <c r="D15" i="10" s="1"/>
  <c r="L86" i="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J433" i="38"/>
  <c r="D4" i="38"/>
  <c r="L418" i="38"/>
  <c r="F199" i="38"/>
  <c r="D283" i="38"/>
  <c r="N9" i="35"/>
  <c r="J120" i="35"/>
  <c r="F350" i="38"/>
  <c r="N28" i="35"/>
  <c r="J149" i="35"/>
  <c r="J194" i="35"/>
  <c r="F435" i="38"/>
  <c r="M347" i="35"/>
  <c r="L8" i="35"/>
  <c r="M297" i="35"/>
  <c r="M102" i="35"/>
  <c r="E126" i="38"/>
  <c r="N281" i="35"/>
  <c r="M317" i="35"/>
  <c r="N252" i="35"/>
  <c r="N212" i="35"/>
  <c r="R11" i="37"/>
  <c r="D306" i="38"/>
  <c r="M124" i="35"/>
  <c r="L57" i="35"/>
  <c r="N83" i="35"/>
  <c r="N142" i="35"/>
  <c r="L422" i="38"/>
  <c r="N234" i="35"/>
  <c r="D309" i="38"/>
  <c r="E249" i="38"/>
  <c r="N422" i="38"/>
  <c r="N135" i="35"/>
  <c r="L437" i="38"/>
  <c r="J259" i="35"/>
  <c r="K435" i="38"/>
  <c r="M147" i="35"/>
  <c r="F304" i="38"/>
  <c r="E265" i="38"/>
  <c r="M429" i="38"/>
  <c r="M41" i="35"/>
  <c r="E101" i="38"/>
  <c r="E10" i="38"/>
  <c r="F11" i="38"/>
  <c r="E246" i="38"/>
  <c r="E181" i="38"/>
  <c r="M88" i="35"/>
  <c r="K418" i="38"/>
  <c r="K7" i="37"/>
  <c r="N273" i="35"/>
  <c r="M58" i="35"/>
  <c r="L131" i="35"/>
  <c r="D281" i="38"/>
  <c r="N94" i="35"/>
  <c r="N161" i="35"/>
  <c r="K419" i="38"/>
  <c r="D312" i="38"/>
  <c r="N377" i="35"/>
  <c r="F421" i="38"/>
  <c r="F355" i="38"/>
  <c r="L6" i="37"/>
  <c r="M44" i="35"/>
  <c r="J136" i="35"/>
  <c r="M191" i="35"/>
  <c r="L7" i="35"/>
  <c r="N50" i="35"/>
  <c r="J146" i="35"/>
  <c r="J9" i="35"/>
  <c r="M186" i="35"/>
  <c r="G23" i="38"/>
  <c r="E410" i="38"/>
  <c r="N114" i="35"/>
  <c r="M340" i="35"/>
  <c r="K23" i="35"/>
  <c r="N423" i="38"/>
  <c r="M9" i="37"/>
  <c r="L74" i="35"/>
  <c r="P6" i="37"/>
  <c r="M59" i="35"/>
  <c r="E213" i="38"/>
  <c r="H440" i="38"/>
  <c r="H50" i="38"/>
  <c r="F135" i="38"/>
  <c r="M216" i="35"/>
  <c r="D345" i="38"/>
  <c r="M201" i="35"/>
  <c r="M87" i="35"/>
  <c r="D273" i="38"/>
  <c r="M160" i="35"/>
  <c r="F331" i="38"/>
  <c r="N331" i="35"/>
  <c r="D227" i="38"/>
  <c r="K23" i="37"/>
  <c r="F119" i="38"/>
  <c r="K17" i="37"/>
  <c r="N214" i="35"/>
  <c r="F382" i="38"/>
  <c r="L439" i="38"/>
  <c r="R9" i="37"/>
  <c r="L96" i="35"/>
  <c r="H4" i="38"/>
  <c r="E245" i="38"/>
  <c r="N263" i="35"/>
  <c r="I427" i="38"/>
  <c r="N324" i="35"/>
  <c r="L426" i="38"/>
  <c r="J340" i="35"/>
  <c r="E178" i="38"/>
  <c r="N385" i="35"/>
  <c r="F109" i="38"/>
  <c r="F373" i="38"/>
  <c r="L77" i="35"/>
  <c r="E237" i="38"/>
  <c r="R13" i="37"/>
  <c r="M408" i="35"/>
  <c r="M383" i="35"/>
  <c r="J159" i="35"/>
  <c r="E419" i="38"/>
  <c r="F48" i="38"/>
  <c r="L132" i="35"/>
  <c r="E203" i="38"/>
  <c r="F167" i="38"/>
  <c r="N97" i="35"/>
  <c r="M20" i="35"/>
  <c r="J432" i="38"/>
  <c r="N71" i="35"/>
  <c r="J30" i="35"/>
  <c r="D319" i="38"/>
  <c r="D213" i="38"/>
  <c r="H34" i="38"/>
  <c r="K46" i="35"/>
  <c r="K18" i="35"/>
  <c r="N296" i="35"/>
  <c r="F323" i="38"/>
  <c r="O6" i="37"/>
  <c r="F341" i="38"/>
  <c r="M43" i="35"/>
  <c r="F127" i="38"/>
  <c r="N275" i="35"/>
  <c r="S16" i="37"/>
  <c r="J36" i="35"/>
  <c r="H426" i="38"/>
  <c r="J76" i="35"/>
  <c r="J335" i="35"/>
  <c r="F100" i="38"/>
  <c r="E5" i="38"/>
  <c r="L4" i="35"/>
  <c r="F309" i="38"/>
  <c r="N107" i="35"/>
  <c r="M406" i="35"/>
  <c r="F157" i="38"/>
  <c r="G57" i="38"/>
  <c r="D244" i="38"/>
  <c r="E108" i="38"/>
  <c r="D235" i="38"/>
  <c r="F159" i="38"/>
  <c r="F388" i="38"/>
  <c r="N363" i="35"/>
  <c r="H57" i="38"/>
  <c r="E289" i="38"/>
  <c r="F36" i="38"/>
  <c r="N82" i="35"/>
  <c r="F317" i="38"/>
  <c r="N152" i="35"/>
  <c r="J6" i="37"/>
  <c r="J314" i="35"/>
  <c r="D279" i="38"/>
  <c r="J86" i="35"/>
  <c r="M387" i="35"/>
  <c r="N213" i="35"/>
  <c r="N338" i="35"/>
  <c r="M288" i="35"/>
  <c r="D311" i="38"/>
  <c r="F4" i="38"/>
  <c r="J317" i="35"/>
  <c r="M85" i="35"/>
  <c r="E103" i="38"/>
  <c r="N360" i="35"/>
  <c r="D256" i="38"/>
  <c r="J29" i="37"/>
  <c r="F429" i="38"/>
  <c r="E77" i="38"/>
  <c r="J98" i="35"/>
  <c r="E211" i="38"/>
  <c r="K6" i="35"/>
  <c r="L107" i="35"/>
  <c r="J193" i="35"/>
  <c r="K3" i="37"/>
  <c r="J131" i="35"/>
  <c r="I441" i="38"/>
  <c r="G420" i="38"/>
  <c r="M377" i="35"/>
  <c r="M378" i="35"/>
  <c r="M39" i="35"/>
  <c r="N188" i="35"/>
  <c r="E206" i="38"/>
  <c r="M356" i="35"/>
  <c r="J279" i="35"/>
  <c r="E214" i="38"/>
  <c r="L436" i="38"/>
  <c r="F427" i="38"/>
  <c r="E20" i="38"/>
  <c r="M327" i="35"/>
  <c r="G11" i="38"/>
  <c r="E132" i="38"/>
  <c r="E189" i="38"/>
  <c r="D214" i="38"/>
  <c r="M139" i="35"/>
  <c r="M22" i="35"/>
  <c r="D248" i="38"/>
  <c r="M62" i="35"/>
  <c r="N408" i="35"/>
  <c r="J179" i="35"/>
  <c r="F125" i="38"/>
  <c r="L35" i="37"/>
  <c r="E79" i="38"/>
  <c r="D149" i="38"/>
  <c r="F140" i="38"/>
  <c r="E402" i="38"/>
  <c r="N301" i="35"/>
  <c r="E100" i="38"/>
  <c r="F5" i="38"/>
  <c r="E432" i="38"/>
  <c r="J435" i="38"/>
  <c r="L126" i="35"/>
  <c r="G61" i="38"/>
  <c r="J13" i="35"/>
  <c r="J24" i="35"/>
  <c r="M214" i="35"/>
  <c r="F402" i="38"/>
  <c r="N168" i="35"/>
  <c r="L121" i="35"/>
  <c r="J210" i="35"/>
  <c r="N345" i="35"/>
  <c r="N350" i="35"/>
  <c r="E255" i="38"/>
  <c r="D267" i="38"/>
  <c r="N91" i="35"/>
  <c r="F169" i="38"/>
  <c r="N196" i="35"/>
  <c r="D234" i="38"/>
  <c r="G63" i="38"/>
  <c r="J33" i="37"/>
  <c r="J250" i="35"/>
  <c r="N276" i="35"/>
  <c r="N52" i="35"/>
  <c r="J115" i="35"/>
  <c r="M75" i="35"/>
  <c r="D198" i="38"/>
  <c r="O13" i="37"/>
  <c r="D179" i="38"/>
  <c r="E284" i="38"/>
  <c r="M47" i="35"/>
  <c r="F37" i="38"/>
  <c r="H29" i="38"/>
  <c r="J277" i="35"/>
  <c r="N189" i="35"/>
  <c r="J305" i="35"/>
  <c r="G13" i="38"/>
  <c r="D317" i="38"/>
  <c r="L39" i="35"/>
  <c r="J119" i="35"/>
  <c r="J206" i="35"/>
  <c r="F348" i="38"/>
  <c r="J295" i="35"/>
  <c r="N16" i="35"/>
  <c r="F52" i="38"/>
  <c r="J296" i="35"/>
  <c r="M375" i="35"/>
  <c r="F64" i="38"/>
  <c r="F175" i="38"/>
  <c r="D209" i="38"/>
  <c r="L59" i="35"/>
  <c r="N75" i="35"/>
  <c r="J150" i="35"/>
  <c r="D259" i="38"/>
  <c r="D225" i="38"/>
  <c r="M21" i="37"/>
  <c r="J93" i="35"/>
  <c r="D172" i="38"/>
  <c r="H8" i="38"/>
  <c r="F413" i="38"/>
  <c r="F438" i="38"/>
  <c r="E30" i="38"/>
  <c r="K47" i="35"/>
  <c r="J142" i="35"/>
  <c r="K440" i="38"/>
  <c r="F156" i="38"/>
  <c r="N130" i="35"/>
  <c r="F322" i="38"/>
  <c r="M195" i="35"/>
  <c r="N120" i="35"/>
  <c r="J116" i="35"/>
  <c r="E54" i="38"/>
  <c r="M136" i="35"/>
  <c r="D185" i="38"/>
  <c r="N177" i="35"/>
  <c r="D284" i="38"/>
  <c r="M133" i="35"/>
  <c r="F328" i="38"/>
  <c r="F363" i="38"/>
  <c r="E244" i="38"/>
  <c r="F133" i="38"/>
  <c r="E11" i="38"/>
  <c r="F68" i="38"/>
  <c r="L66" i="35"/>
  <c r="N127" i="35"/>
  <c r="M78" i="35"/>
  <c r="M314" i="35"/>
  <c r="E240" i="38"/>
  <c r="J231" i="35"/>
  <c r="M174" i="35"/>
  <c r="F177" i="38"/>
  <c r="J160" i="35"/>
  <c r="G18" i="38"/>
  <c r="E215" i="38"/>
  <c r="N187" i="35"/>
  <c r="J164" i="35"/>
  <c r="J163" i="35"/>
  <c r="J141" i="35"/>
  <c r="O7" i="37"/>
  <c r="J202" i="35"/>
  <c r="E261" i="38"/>
  <c r="J429" i="38"/>
  <c r="M290" i="35"/>
  <c r="M346" i="35"/>
  <c r="M331" i="35"/>
  <c r="F440" i="38"/>
  <c r="M177" i="35"/>
  <c r="J109" i="35"/>
  <c r="E118" i="38"/>
  <c r="K52" i="35"/>
  <c r="K42" i="35"/>
  <c r="N170" i="35"/>
  <c r="E210" i="38"/>
  <c r="J155" i="35"/>
  <c r="D240" i="38"/>
  <c r="M242" i="35"/>
  <c r="J95" i="35"/>
  <c r="E428" i="38"/>
  <c r="J55" i="35"/>
  <c r="M93" i="35"/>
  <c r="N172" i="35"/>
  <c r="Q19" i="37"/>
  <c r="F419" i="38"/>
  <c r="D207" i="38"/>
  <c r="E120" i="38"/>
  <c r="J8" i="35"/>
  <c r="J233" i="35"/>
  <c r="N329" i="35"/>
  <c r="J304" i="35"/>
  <c r="F85" i="38"/>
  <c r="D161" i="38"/>
  <c r="M99" i="35"/>
  <c r="M25" i="35"/>
  <c r="K56" i="35"/>
  <c r="L106" i="35"/>
  <c r="J322" i="35"/>
  <c r="D300" i="38"/>
  <c r="L21" i="37"/>
  <c r="N201" i="35"/>
  <c r="E159" i="38"/>
  <c r="M227" i="35"/>
  <c r="J420" i="38"/>
  <c r="F88" i="38"/>
  <c r="H58" i="38"/>
  <c r="J269" i="35"/>
  <c r="M258" i="35"/>
  <c r="F138" i="38"/>
  <c r="F9" i="38"/>
  <c r="F415" i="38"/>
  <c r="M81" i="35"/>
  <c r="D349" i="38"/>
  <c r="K40" i="35"/>
  <c r="E441" i="38"/>
  <c r="M64" i="35"/>
  <c r="M94" i="35"/>
  <c r="M30" i="35"/>
  <c r="E267" i="38"/>
  <c r="H35" i="38"/>
  <c r="G418" i="38"/>
  <c r="M439" i="38"/>
  <c r="G7" i="38"/>
  <c r="E251" i="38"/>
  <c r="K4" i="35"/>
  <c r="J209" i="35"/>
  <c r="N162" i="35"/>
  <c r="K16" i="37"/>
  <c r="G47" i="38"/>
  <c r="N266" i="35"/>
  <c r="E290" i="38"/>
  <c r="E56" i="38"/>
  <c r="M208" i="35"/>
  <c r="F376" i="38"/>
  <c r="M262" i="35"/>
  <c r="I440" i="38"/>
  <c r="M55" i="35"/>
  <c r="M90" i="35"/>
  <c r="S23" i="37"/>
  <c r="D155" i="38"/>
  <c r="N99" i="35"/>
  <c r="H15" i="38"/>
  <c r="M282" i="35"/>
  <c r="M86" i="35"/>
  <c r="E19" i="38"/>
  <c r="L75" i="35"/>
  <c r="J91" i="35"/>
  <c r="E153" i="38"/>
  <c r="N43" i="35"/>
  <c r="H431" i="38"/>
  <c r="S10" i="37"/>
  <c r="F24" i="38"/>
  <c r="D251" i="38"/>
  <c r="D140" i="38"/>
  <c r="G55" i="38"/>
  <c r="M54" i="35"/>
  <c r="D239" i="38"/>
  <c r="J43" i="35"/>
  <c r="H439" i="38"/>
  <c r="M433" i="38"/>
  <c r="M268" i="35"/>
  <c r="D341" i="38"/>
  <c r="J321" i="35"/>
  <c r="M397" i="35"/>
  <c r="M168" i="35"/>
  <c r="N141" i="35"/>
  <c r="R7" i="37"/>
  <c r="J290" i="35"/>
  <c r="E125" i="38"/>
  <c r="N406" i="35"/>
  <c r="G45" i="38"/>
  <c r="N256" i="35"/>
  <c r="J140" i="35"/>
  <c r="E17" i="38"/>
  <c r="F22" i="38"/>
  <c r="N355" i="35"/>
  <c r="F115" i="38"/>
  <c r="F345" i="38"/>
  <c r="H65" i="38"/>
  <c r="E163" i="38"/>
  <c r="D286" i="38"/>
  <c r="J238" i="35"/>
  <c r="E164" i="38"/>
  <c r="M434" i="38"/>
  <c r="E175" i="38"/>
  <c r="G44" i="38"/>
  <c r="F42" i="38"/>
  <c r="J53" i="35"/>
  <c r="M345" i="35"/>
  <c r="F91" i="38"/>
  <c r="D276" i="38"/>
  <c r="G52" i="38"/>
  <c r="D326" i="38"/>
  <c r="E208" i="38"/>
  <c r="J108" i="35"/>
  <c r="D313" i="38"/>
  <c r="S6" i="37"/>
  <c r="F63" i="38"/>
  <c r="R6" i="37"/>
  <c r="M235" i="35"/>
  <c r="M309" i="35"/>
  <c r="F97" i="38"/>
  <c r="F47" i="38"/>
  <c r="E8" i="38"/>
  <c r="K17" i="35"/>
  <c r="L130" i="35"/>
  <c r="M419" i="38"/>
  <c r="F110" i="38"/>
  <c r="M9" i="35"/>
  <c r="D270" i="38"/>
  <c r="N253" i="35"/>
  <c r="N374" i="35"/>
  <c r="M187" i="35"/>
  <c r="J339" i="35"/>
  <c r="M142" i="35"/>
  <c r="J181" i="35"/>
  <c r="L65" i="35"/>
  <c r="M246" i="35"/>
  <c r="N146" i="35"/>
  <c r="E39" i="38"/>
  <c r="M225" i="35"/>
  <c r="E104" i="38"/>
  <c r="F439" i="38"/>
  <c r="D188" i="38"/>
  <c r="M8" i="35"/>
  <c r="M128" i="35"/>
  <c r="H7" i="38"/>
  <c r="L441" i="38"/>
  <c r="H38" i="38"/>
  <c r="E32" i="38"/>
  <c r="M392" i="35"/>
  <c r="D186" i="38"/>
  <c r="F172" i="38"/>
  <c r="E147" i="38"/>
  <c r="L133" i="35"/>
  <c r="M21" i="35"/>
  <c r="M69" i="35"/>
  <c r="G437" i="38"/>
  <c r="N126" i="35"/>
  <c r="D5" i="38"/>
  <c r="K14" i="37"/>
  <c r="N421" i="38"/>
  <c r="N154" i="35"/>
  <c r="M68" i="35"/>
  <c r="L19" i="35"/>
  <c r="L17" i="37"/>
  <c r="M74" i="35"/>
  <c r="M234" i="35"/>
  <c r="D151" i="38"/>
  <c r="M349" i="35"/>
  <c r="F359" i="38"/>
  <c r="P11" i="37"/>
  <c r="N163" i="35"/>
  <c r="J14" i="35"/>
  <c r="M337" i="35"/>
  <c r="J79" i="35"/>
  <c r="E221" i="38"/>
  <c r="J110" i="35"/>
  <c r="K28" i="35"/>
  <c r="N175" i="35"/>
  <c r="F104" i="38"/>
  <c r="L82" i="35"/>
  <c r="L52" i="35"/>
  <c r="M394" i="35"/>
  <c r="J39" i="35"/>
  <c r="N330" i="35"/>
  <c r="M295" i="35"/>
  <c r="M334" i="35"/>
  <c r="G50" i="38"/>
  <c r="N106" i="35"/>
  <c r="D316" i="38"/>
  <c r="N380" i="35"/>
  <c r="E83" i="38"/>
  <c r="L72" i="35"/>
  <c r="F338" i="38"/>
  <c r="J311" i="35"/>
  <c r="H434" i="38"/>
  <c r="S35" i="37"/>
  <c r="F370" i="38"/>
  <c r="E3" i="38"/>
  <c r="J195" i="35"/>
  <c r="D221" i="38"/>
  <c r="D212" i="38"/>
  <c r="J421" i="38"/>
  <c r="F196" i="38"/>
  <c r="L41" i="35"/>
  <c r="D323" i="38"/>
  <c r="H27" i="38"/>
  <c r="F45" i="38"/>
  <c r="M173" i="35"/>
  <c r="J294" i="35"/>
  <c r="J88" i="35"/>
  <c r="E217" i="38"/>
  <c r="M373" i="35"/>
  <c r="N264" i="35"/>
  <c r="I437" i="38"/>
  <c r="E64" i="38"/>
  <c r="N419" i="38"/>
  <c r="M374" i="35"/>
  <c r="E86" i="38"/>
  <c r="E184" i="38"/>
  <c r="J126" i="35"/>
  <c r="J158" i="35"/>
  <c r="K15" i="37"/>
  <c r="M348" i="35"/>
  <c r="D333" i="38"/>
  <c r="M361" i="35"/>
  <c r="H20" i="38"/>
  <c r="L19" i="37"/>
  <c r="F386" i="38"/>
  <c r="D199" i="38"/>
  <c r="E227" i="38"/>
  <c r="J61" i="35"/>
  <c r="D197" i="38"/>
  <c r="M315" i="35"/>
  <c r="M366" i="35"/>
  <c r="H59" i="38"/>
  <c r="E437" i="38"/>
  <c r="E111" i="38"/>
  <c r="E116" i="38"/>
  <c r="G441" i="38"/>
  <c r="F305" i="38"/>
  <c r="M431" i="38"/>
  <c r="O35" i="37"/>
  <c r="E282" i="38"/>
  <c r="K436" i="38"/>
  <c r="N391" i="35"/>
  <c r="N166" i="35"/>
  <c r="K10" i="35"/>
  <c r="M13" i="37"/>
  <c r="F130" i="38"/>
  <c r="E93" i="38"/>
  <c r="J175" i="35"/>
  <c r="D290" i="38"/>
  <c r="N259" i="35"/>
  <c r="J50" i="35"/>
  <c r="E269" i="38"/>
  <c r="J97" i="35"/>
  <c r="F381" i="38"/>
  <c r="M279" i="35"/>
  <c r="M76" i="35"/>
  <c r="H13" i="38"/>
  <c r="K59" i="35"/>
  <c r="M428" i="38"/>
  <c r="M432" i="38"/>
  <c r="L122" i="35"/>
  <c r="P15" i="37"/>
  <c r="N148" i="35"/>
  <c r="M134" i="35"/>
  <c r="N287" i="35"/>
  <c r="G48" i="38"/>
  <c r="N19" i="37"/>
  <c r="E198" i="38"/>
  <c r="L420" i="38"/>
  <c r="F56" i="38"/>
  <c r="E33" i="38"/>
  <c r="J6" i="35"/>
  <c r="L92" i="35"/>
  <c r="K49" i="35"/>
  <c r="J293" i="35"/>
  <c r="N249" i="35"/>
  <c r="K434" i="38"/>
  <c r="G2" i="38"/>
  <c r="N13" i="35"/>
  <c r="F152" i="38"/>
  <c r="M163" i="35"/>
  <c r="E14" i="38"/>
  <c r="E409" i="38"/>
  <c r="E185" i="38"/>
  <c r="F23" i="38"/>
  <c r="F43" i="38"/>
  <c r="R19" i="37"/>
  <c r="G53" i="38"/>
  <c r="E26" i="38"/>
  <c r="D335" i="38"/>
  <c r="G436" i="38"/>
  <c r="J216" i="35"/>
  <c r="E7" i="38"/>
  <c r="L5" i="35"/>
  <c r="N403" i="35"/>
  <c r="M169" i="35"/>
  <c r="K6" i="37"/>
  <c r="E44" i="38"/>
  <c r="F180" i="38"/>
  <c r="E59" i="38"/>
  <c r="L15" i="35"/>
  <c r="D17" i="38"/>
  <c r="J48" i="35"/>
  <c r="E131" i="38"/>
  <c r="E193" i="38"/>
  <c r="M276" i="35"/>
  <c r="M358" i="35"/>
  <c r="N429" i="38"/>
  <c r="E124" i="38"/>
  <c r="J222" i="35"/>
  <c r="O14" i="37"/>
  <c r="K41" i="35"/>
  <c r="J223" i="35"/>
  <c r="N47" i="35"/>
  <c r="H40" i="38"/>
  <c r="F150" i="38"/>
  <c r="G22" i="38"/>
  <c r="N318" i="35"/>
  <c r="M281" i="35"/>
  <c r="M321" i="35"/>
  <c r="M293" i="35"/>
  <c r="J256" i="35"/>
  <c r="J56" i="35"/>
  <c r="K425" i="38"/>
  <c r="E413" i="38"/>
  <c r="N440" i="38"/>
  <c r="F310" i="38"/>
  <c r="M296" i="35"/>
  <c r="D154" i="38"/>
  <c r="F404" i="38"/>
  <c r="F385" i="38"/>
  <c r="J29" i="35"/>
  <c r="F379" i="38"/>
  <c r="K65" i="35"/>
  <c r="L47" i="35"/>
  <c r="J19" i="35"/>
  <c r="M70" i="35"/>
  <c r="E172" i="38"/>
  <c r="L101" i="35"/>
  <c r="M26" i="35"/>
  <c r="N194" i="35"/>
  <c r="E174" i="38"/>
  <c r="J75" i="35"/>
  <c r="D252" i="38"/>
  <c r="D233" i="38"/>
  <c r="D194" i="38"/>
  <c r="N78" i="35"/>
  <c r="E110" i="38"/>
  <c r="N375" i="35"/>
  <c r="J16" i="37"/>
  <c r="E281" i="38"/>
  <c r="J268" i="35"/>
  <c r="K31" i="35"/>
  <c r="M176" i="35"/>
  <c r="M123" i="35"/>
  <c r="J25" i="35"/>
  <c r="J278" i="35"/>
  <c r="E288" i="38"/>
  <c r="E154" i="38"/>
  <c r="D295" i="38"/>
  <c r="E145" i="38"/>
  <c r="N23" i="37"/>
  <c r="F433" i="38"/>
  <c r="E141" i="38"/>
  <c r="F57" i="38"/>
  <c r="E90" i="38"/>
  <c r="N228" i="35"/>
  <c r="H421" i="38"/>
  <c r="D236" i="38"/>
  <c r="L109" i="35"/>
  <c r="M10" i="35"/>
  <c r="E241" i="38"/>
  <c r="K32" i="35"/>
  <c r="E148" i="38"/>
  <c r="N7" i="37"/>
  <c r="N33" i="35"/>
  <c r="M323" i="35"/>
  <c r="N387" i="35"/>
  <c r="N232" i="35"/>
  <c r="E238" i="38"/>
  <c r="F129" i="38"/>
  <c r="G49" i="38"/>
  <c r="F351" i="38"/>
  <c r="E121" i="38"/>
  <c r="K21" i="37"/>
  <c r="E298" i="38"/>
  <c r="N379" i="35"/>
  <c r="L6" i="35"/>
  <c r="N171" i="35"/>
  <c r="E136" i="38"/>
  <c r="F154" i="38"/>
  <c r="N51" i="35"/>
  <c r="N282" i="35"/>
  <c r="J40" i="35"/>
  <c r="J67" i="35"/>
  <c r="D241" i="38"/>
  <c r="N37" i="35"/>
  <c r="D19" i="38"/>
  <c r="E130" i="38"/>
  <c r="M35" i="35"/>
  <c r="M164" i="35"/>
  <c r="E167" i="38"/>
  <c r="N129" i="35"/>
  <c r="L70" i="35"/>
  <c r="M7" i="37"/>
  <c r="M338" i="35"/>
  <c r="N344" i="35"/>
  <c r="H18" i="38"/>
  <c r="D187" i="38"/>
  <c r="N98" i="35"/>
  <c r="N393" i="35"/>
  <c r="N55" i="35"/>
  <c r="G427" i="38"/>
  <c r="N44" i="35"/>
  <c r="M34" i="35"/>
  <c r="E46" i="38"/>
  <c r="D177" i="38"/>
  <c r="H26" i="38"/>
  <c r="G25" i="38"/>
  <c r="N227" i="35"/>
  <c r="M197" i="35"/>
  <c r="M354" i="35"/>
  <c r="N336" i="35"/>
  <c r="M270" i="35"/>
  <c r="J244" i="35"/>
  <c r="L100" i="35"/>
  <c r="E439" i="38"/>
  <c r="J118" i="35"/>
  <c r="H67" i="38"/>
  <c r="H52" i="38"/>
  <c r="K441" i="38"/>
  <c r="J249" i="35"/>
  <c r="J170" i="35"/>
  <c r="D245" i="38"/>
  <c r="D266" i="38"/>
  <c r="E143" i="38"/>
  <c r="H433" i="38"/>
  <c r="E406" i="38"/>
  <c r="J92" i="35"/>
  <c r="L42" i="35"/>
  <c r="J306" i="35"/>
  <c r="N310" i="35"/>
  <c r="N15" i="35"/>
  <c r="N149" i="35"/>
  <c r="J441" i="38"/>
  <c r="N327" i="35"/>
  <c r="N73" i="35"/>
  <c r="M396" i="35"/>
  <c r="F183" i="38"/>
  <c r="K430" i="38"/>
  <c r="M369" i="35"/>
  <c r="E29" i="38"/>
  <c r="J34" i="35"/>
  <c r="Q6" i="37"/>
  <c r="G59" i="38"/>
  <c r="H429" i="38"/>
  <c r="K9" i="37"/>
  <c r="M324" i="35"/>
  <c r="K67" i="35"/>
  <c r="M161" i="35"/>
  <c r="K11" i="35"/>
  <c r="S21" i="37"/>
  <c r="N3" i="35"/>
  <c r="D228" i="38"/>
  <c r="F362" i="38"/>
  <c r="F327" i="38"/>
  <c r="L61" i="35"/>
  <c r="F84" i="38"/>
  <c r="M33" i="35"/>
  <c r="F108" i="38"/>
  <c r="J176" i="35"/>
  <c r="F325" i="38"/>
  <c r="N352" i="35"/>
  <c r="N251" i="35"/>
  <c r="H436" i="38"/>
  <c r="E135" i="38"/>
  <c r="M298" i="35"/>
  <c r="N219" i="35"/>
  <c r="J285" i="35"/>
  <c r="D152" i="38"/>
  <c r="F168" i="38"/>
  <c r="E106" i="38"/>
  <c r="E404" i="38"/>
  <c r="F121" i="38"/>
  <c r="F93" i="38"/>
  <c r="N320" i="35"/>
  <c r="E96" i="38"/>
  <c r="H51" i="38"/>
  <c r="J439" i="38"/>
  <c r="K431" i="38"/>
  <c r="K417" i="38"/>
  <c r="G439" i="38"/>
  <c r="L417" i="38"/>
  <c r="M335" i="35"/>
  <c r="E158" i="38"/>
  <c r="G26" i="38"/>
  <c r="D301" i="38"/>
  <c r="J217" i="35"/>
  <c r="E152" i="38"/>
  <c r="M385" i="35"/>
  <c r="N13" i="37"/>
  <c r="J107" i="35"/>
  <c r="L28" i="35"/>
  <c r="L78" i="35"/>
  <c r="H424" i="38"/>
  <c r="M204" i="35"/>
  <c r="I438" i="38"/>
  <c r="J225" i="35"/>
  <c r="E70" i="38"/>
  <c r="E200" i="38"/>
  <c r="G54" i="38"/>
  <c r="J423" i="38"/>
  <c r="J130" i="35"/>
  <c r="M149" i="35"/>
  <c r="L14" i="35"/>
  <c r="K38" i="35"/>
  <c r="E296" i="38"/>
  <c r="R5" i="37"/>
  <c r="G426" i="38"/>
  <c r="J117" i="35"/>
  <c r="H53" i="38"/>
  <c r="F410" i="38"/>
  <c r="N103" i="35"/>
  <c r="N122" i="35"/>
  <c r="G5" i="38"/>
  <c r="J96" i="35"/>
  <c r="M19" i="35"/>
  <c r="N417" i="38"/>
  <c r="S14" i="37"/>
  <c r="H63" i="38"/>
  <c r="F40" i="38"/>
  <c r="D262" i="38"/>
  <c r="N299" i="35"/>
  <c r="N48" i="35"/>
  <c r="J32" i="37"/>
  <c r="E9" i="38"/>
  <c r="M188" i="35"/>
  <c r="E285" i="38"/>
  <c r="E57" i="38"/>
  <c r="D253" i="38"/>
  <c r="R14" i="37"/>
  <c r="J101" i="35"/>
  <c r="K25" i="35"/>
  <c r="K2" i="35"/>
  <c r="N306" i="35"/>
  <c r="N23" i="35"/>
  <c r="J257" i="35"/>
  <c r="N136" i="35"/>
  <c r="N20" i="35"/>
  <c r="F187" i="38"/>
  <c r="D170" i="38"/>
  <c r="K421" i="38"/>
  <c r="J165" i="35"/>
  <c r="N325" i="35"/>
  <c r="M12" i="35"/>
  <c r="N297" i="35"/>
  <c r="N25" i="35"/>
  <c r="J102" i="35"/>
  <c r="N316" i="35"/>
  <c r="M305" i="35"/>
  <c r="M137" i="35"/>
  <c r="F158" i="38"/>
  <c r="D173" i="38"/>
  <c r="N209" i="35"/>
  <c r="N124" i="35"/>
  <c r="E97" i="38"/>
  <c r="D243" i="38"/>
  <c r="K60" i="35"/>
  <c r="F412" i="38"/>
  <c r="M175" i="35"/>
  <c r="N16" i="37"/>
  <c r="J85" i="35"/>
  <c r="E38" i="38"/>
  <c r="L84" i="35"/>
  <c r="J237" i="35"/>
  <c r="J196" i="35"/>
  <c r="N404" i="35"/>
  <c r="M301" i="35"/>
  <c r="F405" i="38"/>
  <c r="L62" i="35"/>
  <c r="E263" i="38"/>
  <c r="K54" i="35"/>
  <c r="N407" i="35"/>
  <c r="J336" i="35"/>
  <c r="M232" i="35"/>
  <c r="H43" i="38"/>
  <c r="M172" i="35"/>
  <c r="J192" i="35"/>
  <c r="E112" i="38"/>
  <c r="D302" i="38"/>
  <c r="I421" i="38"/>
  <c r="F302" i="38"/>
  <c r="J15" i="35"/>
  <c r="N388" i="35"/>
  <c r="D145" i="38"/>
  <c r="G41" i="38"/>
  <c r="D246" i="38"/>
  <c r="H62" i="38"/>
  <c r="M171" i="35"/>
  <c r="N439" i="38"/>
  <c r="J17" i="35"/>
  <c r="M283" i="35"/>
  <c r="M236" i="35"/>
  <c r="E218" i="38"/>
  <c r="Q14" i="37"/>
  <c r="G58" i="38"/>
  <c r="N202" i="35"/>
  <c r="D144" i="38"/>
  <c r="E22" i="38"/>
  <c r="N367" i="35"/>
  <c r="H437" i="38"/>
  <c r="N284" i="35"/>
  <c r="M280" i="35"/>
  <c r="F437" i="38"/>
  <c r="G425" i="38"/>
  <c r="E168" i="38"/>
  <c r="F197" i="38"/>
  <c r="N203" i="35"/>
  <c r="D150" i="38"/>
  <c r="M249" i="35"/>
  <c r="E234" i="38"/>
  <c r="D142" i="38"/>
  <c r="G64" i="38"/>
  <c r="E142" i="38"/>
  <c r="N74" i="35"/>
  <c r="E257" i="38"/>
  <c r="M153" i="35"/>
  <c r="D2" i="38"/>
  <c r="F49" i="38"/>
  <c r="J172" i="35"/>
  <c r="L50" i="35"/>
  <c r="J425" i="38"/>
  <c r="M313" i="35"/>
  <c r="E55" i="38"/>
  <c r="J273" i="35"/>
  <c r="M223" i="35"/>
  <c r="E232" i="38"/>
  <c r="E415" i="38"/>
  <c r="L58" i="35"/>
  <c r="E123" i="38"/>
  <c r="E73" i="38"/>
  <c r="G430" i="38"/>
  <c r="F17" i="38"/>
  <c r="M5" i="37"/>
  <c r="S9" i="37"/>
  <c r="H422" i="38"/>
  <c r="E258" i="38"/>
  <c r="J28" i="35"/>
  <c r="M79" i="35"/>
  <c r="F193" i="38"/>
  <c r="F352" i="38"/>
  <c r="J302" i="35"/>
  <c r="E165" i="38"/>
  <c r="E436" i="38"/>
  <c r="P10" i="37"/>
  <c r="N386" i="35"/>
  <c r="J422" i="38"/>
  <c r="E62" i="38"/>
  <c r="D310" i="38"/>
  <c r="E414" i="38"/>
  <c r="F372" i="38"/>
  <c r="M11" i="35"/>
  <c r="M302" i="35"/>
  <c r="D255" i="38"/>
  <c r="F163" i="38"/>
  <c r="J201" i="35"/>
  <c r="M132" i="35"/>
  <c r="N174" i="35"/>
  <c r="F105" i="38"/>
  <c r="D332" i="38"/>
  <c r="J221" i="35"/>
  <c r="H45" i="38"/>
  <c r="E85" i="38"/>
  <c r="E423" i="38"/>
  <c r="D223" i="38"/>
  <c r="J276" i="35"/>
  <c r="J301" i="35"/>
  <c r="M65" i="35"/>
  <c r="D163" i="38"/>
  <c r="E139" i="38"/>
  <c r="F86" i="38"/>
  <c r="L53" i="35"/>
  <c r="F15" i="38"/>
  <c r="G51" i="38"/>
  <c r="N239" i="35"/>
  <c r="D14" i="38"/>
  <c r="E412" i="38"/>
  <c r="E95" i="38"/>
  <c r="K429" i="38"/>
  <c r="J71" i="35"/>
  <c r="L3" i="37"/>
  <c r="M211" i="35"/>
  <c r="N346" i="35"/>
  <c r="F96" i="38"/>
  <c r="O5" i="37"/>
  <c r="M183" i="35"/>
  <c r="F306" i="38"/>
  <c r="D265" i="38"/>
  <c r="J334" i="35"/>
  <c r="N358" i="35"/>
  <c r="M435" i="38"/>
  <c r="N35" i="37"/>
  <c r="E259" i="38"/>
  <c r="G32" i="38"/>
  <c r="N3" i="37"/>
  <c r="J440" i="38"/>
  <c r="H19" i="38"/>
  <c r="M145" i="35"/>
  <c r="J34" i="37"/>
  <c r="J330" i="35"/>
  <c r="E277" i="38"/>
  <c r="J230" i="35"/>
  <c r="N217" i="35"/>
  <c r="M294" i="35"/>
  <c r="Q11" i="37"/>
  <c r="N382" i="35"/>
  <c r="M92" i="35"/>
  <c r="N2" i="35"/>
  <c r="M17" i="37"/>
  <c r="E161" i="38"/>
  <c r="N254" i="35"/>
  <c r="D264" i="38"/>
  <c r="J19" i="37"/>
  <c r="M127" i="35"/>
  <c r="J291" i="35"/>
  <c r="E407" i="38"/>
  <c r="E421" i="38"/>
  <c r="N27" i="35"/>
  <c r="D146" i="38"/>
  <c r="N312" i="35"/>
  <c r="M129" i="35"/>
  <c r="E87" i="38"/>
  <c r="N354" i="35"/>
  <c r="F82" i="38"/>
  <c r="H418" i="38"/>
  <c r="L71" i="35"/>
  <c r="D15" i="38"/>
  <c r="G432" i="38"/>
  <c r="M267" i="35"/>
  <c r="E294" i="38"/>
  <c r="K64" i="35"/>
  <c r="M312" i="35"/>
  <c r="E52" i="38"/>
  <c r="M264" i="35"/>
  <c r="J248" i="35"/>
  <c r="L89" i="35"/>
  <c r="D232" i="38"/>
  <c r="F32" i="38"/>
  <c r="J212" i="35"/>
  <c r="F311" i="38"/>
  <c r="M438" i="38"/>
  <c r="M440" i="38"/>
  <c r="F189" i="38"/>
  <c r="M150" i="35"/>
  <c r="M367" i="35"/>
  <c r="F430" i="38"/>
  <c r="N182" i="35"/>
  <c r="L48" i="35"/>
  <c r="D231" i="38"/>
  <c r="M291" i="35"/>
  <c r="D330" i="38"/>
  <c r="M106" i="35"/>
  <c r="D164" i="38"/>
  <c r="N34" i="35"/>
  <c r="F333" i="38"/>
  <c r="M24" i="35"/>
  <c r="G31" i="38"/>
  <c r="M271" i="35"/>
  <c r="D3" i="38"/>
  <c r="F414" i="38"/>
  <c r="N395" i="35"/>
  <c r="L34" i="35"/>
  <c r="F371" i="38"/>
  <c r="F101" i="38"/>
  <c r="L125" i="35"/>
  <c r="D339" i="38"/>
  <c r="J161" i="35"/>
  <c r="F420" i="38"/>
  <c r="F334" i="38"/>
  <c r="N46" i="35"/>
  <c r="D171" i="38"/>
  <c r="D141" i="38"/>
  <c r="N32" i="35"/>
  <c r="J57" i="35"/>
  <c r="N19" i="35"/>
  <c r="L60" i="35"/>
  <c r="G431" i="38"/>
  <c r="N285" i="35"/>
  <c r="F184" i="38"/>
  <c r="N343" i="35"/>
  <c r="N160" i="35"/>
  <c r="M362" i="35"/>
  <c r="J251" i="35"/>
  <c r="F335" i="38"/>
  <c r="I430" i="38"/>
  <c r="G419" i="38"/>
  <c r="F346" i="38"/>
  <c r="F434" i="38"/>
  <c r="L88" i="35"/>
  <c r="G21" i="38"/>
  <c r="L26" i="35"/>
  <c r="D224" i="38"/>
  <c r="J224" i="35"/>
  <c r="M166" i="35"/>
  <c r="F441" i="38"/>
  <c r="E295" i="38"/>
  <c r="M71" i="35"/>
  <c r="H6" i="38"/>
  <c r="E16" i="38"/>
  <c r="J104" i="35"/>
  <c r="E146" i="38"/>
  <c r="N150" i="35"/>
  <c r="M395" i="35"/>
  <c r="H47" i="38"/>
  <c r="E107" i="38"/>
  <c r="I432" i="38"/>
  <c r="F128" i="38"/>
  <c r="F51" i="38"/>
  <c r="N437" i="38"/>
  <c r="D189" i="38"/>
  <c r="N293" i="35"/>
  <c r="N183" i="35"/>
  <c r="F364" i="38"/>
  <c r="F318" i="38"/>
  <c r="E252" i="38"/>
  <c r="M48" i="35"/>
  <c r="N117" i="35"/>
  <c r="H9" i="38"/>
  <c r="F171" i="38"/>
  <c r="M441" i="38"/>
  <c r="E28" i="38"/>
  <c r="M193" i="35"/>
  <c r="M46" i="35"/>
  <c r="E430" i="38"/>
  <c r="F332" i="38"/>
  <c r="M230" i="35"/>
  <c r="F14" i="38"/>
  <c r="M402" i="35"/>
  <c r="N231" i="35"/>
  <c r="N218" i="35"/>
  <c r="N349" i="35"/>
  <c r="M131" i="35"/>
  <c r="H39" i="38"/>
  <c r="M104" i="35"/>
  <c r="L430" i="38"/>
  <c r="D297" i="38"/>
  <c r="M219" i="35"/>
  <c r="F50" i="38"/>
  <c r="M89" i="35"/>
  <c r="J337" i="35"/>
  <c r="M265" i="35"/>
  <c r="N180" i="35"/>
  <c r="M391" i="35"/>
  <c r="I434" i="38"/>
  <c r="E278" i="38"/>
  <c r="N176" i="35"/>
  <c r="L55" i="35"/>
  <c r="L113" i="35"/>
  <c r="G10" i="38"/>
  <c r="L13" i="35"/>
  <c r="F141" i="38"/>
  <c r="J123" i="35"/>
  <c r="D343" i="38"/>
  <c r="M42" i="35"/>
  <c r="K438" i="38"/>
  <c r="N12" i="35"/>
  <c r="J152" i="35"/>
  <c r="N289" i="35"/>
  <c r="F182" i="38"/>
  <c r="G30" i="38"/>
  <c r="P21" i="37"/>
  <c r="E422" i="38"/>
  <c r="K26" i="35"/>
  <c r="J260" i="35"/>
  <c r="F391" i="38"/>
  <c r="L38" i="35"/>
  <c r="E191" i="38"/>
  <c r="M263" i="35"/>
  <c r="G16" i="38"/>
  <c r="E63" i="38"/>
  <c r="J188" i="35"/>
  <c r="E179" i="38"/>
  <c r="K45" i="35"/>
  <c r="N22" i="35"/>
  <c r="M116" i="35"/>
  <c r="M73" i="35"/>
  <c r="N270" i="35"/>
  <c r="E417" i="38"/>
  <c r="G42" i="38"/>
  <c r="E427" i="38"/>
  <c r="D325" i="38"/>
  <c r="H33" i="38"/>
  <c r="F27" i="38"/>
  <c r="F55" i="38"/>
  <c r="N159" i="35"/>
  <c r="N328" i="35"/>
  <c r="K8" i="35"/>
  <c r="M28" i="35"/>
  <c r="M108" i="35"/>
  <c r="N191" i="35"/>
  <c r="I433" i="38"/>
  <c r="M399" i="35"/>
  <c r="J198" i="35"/>
  <c r="N233" i="35"/>
  <c r="M261" i="35"/>
  <c r="M425" i="38"/>
  <c r="G60" i="38"/>
  <c r="M336" i="35"/>
  <c r="H432" i="38"/>
  <c r="H37" i="38"/>
  <c r="N418" i="38"/>
  <c r="M144" i="35"/>
  <c r="O16" i="37"/>
  <c r="D192" i="38"/>
  <c r="J252" i="35"/>
  <c r="M430" i="38"/>
  <c r="N84" i="35"/>
  <c r="N178" i="35"/>
  <c r="D268" i="38"/>
  <c r="I435" i="38"/>
  <c r="M320" i="35"/>
  <c r="D205" i="38"/>
  <c r="N185" i="35"/>
  <c r="J214" i="35"/>
  <c r="M117" i="35"/>
  <c r="M273" i="35"/>
  <c r="F407" i="38"/>
  <c r="N230" i="35"/>
  <c r="N308" i="35"/>
  <c r="N41" i="35"/>
  <c r="E434" i="38"/>
  <c r="J199" i="35"/>
  <c r="N199" i="35"/>
  <c r="J7" i="37"/>
  <c r="N434" i="38"/>
  <c r="F181" i="38"/>
  <c r="N246" i="35"/>
  <c r="J228" i="35"/>
  <c r="N250" i="35"/>
  <c r="L81" i="35"/>
  <c r="D16" i="38"/>
  <c r="L40" i="35"/>
  <c r="H438" i="38"/>
  <c r="F436" i="38"/>
  <c r="M341" i="35"/>
  <c r="N30" i="35"/>
  <c r="K68" i="35"/>
  <c r="J253" i="35"/>
  <c r="M310" i="35"/>
  <c r="N101" i="35"/>
  <c r="M80" i="35"/>
  <c r="D6" i="38"/>
  <c r="M113" i="35"/>
  <c r="F326" i="38"/>
  <c r="L127" i="35"/>
  <c r="N397" i="35"/>
  <c r="M254" i="35"/>
  <c r="D336" i="38"/>
  <c r="N49" i="35"/>
  <c r="G68" i="38"/>
  <c r="J84" i="35"/>
  <c r="N260" i="35"/>
  <c r="N164" i="35"/>
  <c r="F33" i="38"/>
  <c r="N359" i="35"/>
  <c r="H60" i="38"/>
  <c r="E202" i="38"/>
  <c r="J200" i="35"/>
  <c r="F98" i="38"/>
  <c r="N7" i="35"/>
  <c r="M11" i="37"/>
  <c r="N362" i="35"/>
  <c r="E273" i="38"/>
  <c r="D346" i="38"/>
  <c r="M198" i="35"/>
  <c r="N108" i="35"/>
  <c r="J197" i="35"/>
  <c r="N400" i="35"/>
  <c r="M184" i="35"/>
  <c r="Q23" i="37"/>
  <c r="J247" i="35"/>
  <c r="E99" i="38"/>
  <c r="F59" i="38"/>
  <c r="M114" i="35"/>
  <c r="N295" i="35"/>
  <c r="F308" i="38"/>
  <c r="J5" i="37"/>
  <c r="N151" i="35"/>
  <c r="J35" i="35"/>
  <c r="N283" i="35"/>
  <c r="D261" i="38"/>
  <c r="M228" i="35"/>
  <c r="M272" i="35"/>
  <c r="M274" i="35"/>
  <c r="D298" i="38"/>
  <c r="O19" i="37"/>
  <c r="F95" i="38"/>
  <c r="F2" i="38"/>
  <c r="F7" i="38"/>
  <c r="J54" i="35"/>
  <c r="M437" i="38"/>
  <c r="N67" i="35"/>
  <c r="E4" i="38"/>
  <c r="F53" i="38"/>
  <c r="N262" i="35"/>
  <c r="K10" i="37"/>
  <c r="I439" i="38"/>
  <c r="K33" i="35"/>
  <c r="J174" i="35"/>
  <c r="F30" i="38"/>
  <c r="M100" i="35"/>
  <c r="F174" i="38"/>
  <c r="M152" i="35"/>
  <c r="N69" i="35"/>
  <c r="K5" i="35"/>
  <c r="J11" i="37"/>
  <c r="O15" i="37"/>
  <c r="N240" i="35"/>
  <c r="E88" i="38"/>
  <c r="F116" i="38"/>
  <c r="G424" i="38"/>
  <c r="F367" i="38"/>
  <c r="J46" i="35"/>
  <c r="J270" i="35"/>
  <c r="M118" i="35"/>
  <c r="D176" i="38"/>
  <c r="E426" i="38"/>
  <c r="N424" i="38"/>
  <c r="M275" i="35"/>
  <c r="I426" i="38"/>
  <c r="D182" i="38"/>
  <c r="D304" i="38"/>
  <c r="F6" i="38"/>
  <c r="D148" i="38"/>
  <c r="K15" i="35"/>
  <c r="N131" i="35"/>
  <c r="N198" i="35"/>
  <c r="L93" i="35"/>
  <c r="N153" i="35"/>
  <c r="E35" i="38"/>
  <c r="M206" i="35"/>
  <c r="J316" i="35"/>
  <c r="M398" i="35"/>
  <c r="E242" i="38"/>
  <c r="G62" i="38"/>
  <c r="D9" i="38"/>
  <c r="M379" i="35"/>
  <c r="L99" i="35"/>
  <c r="M247" i="35"/>
  <c r="K35" i="37"/>
  <c r="F378" i="38"/>
  <c r="H12" i="38"/>
  <c r="L427" i="38"/>
  <c r="F20" i="38"/>
  <c r="J275" i="35"/>
  <c r="L27" i="35"/>
  <c r="M364" i="35"/>
  <c r="F65" i="38"/>
  <c r="G6" i="38"/>
  <c r="F179" i="38"/>
  <c r="O9" i="37"/>
  <c r="E276" i="38"/>
  <c r="G15" i="38"/>
  <c r="F118" i="38"/>
  <c r="N10" i="35"/>
  <c r="M350" i="35"/>
  <c r="E53" i="38"/>
  <c r="E271" i="38"/>
  <c r="J427" i="38"/>
  <c r="J430" i="38"/>
  <c r="E230" i="38"/>
  <c r="L3" i="35"/>
  <c r="D20" i="38"/>
  <c r="N267" i="35"/>
  <c r="M343" i="35"/>
  <c r="N66" i="35"/>
  <c r="F54" i="38"/>
  <c r="F75" i="38"/>
  <c r="M222" i="35"/>
  <c r="N235" i="35"/>
  <c r="L91" i="35"/>
  <c r="D190" i="38"/>
  <c r="E24" i="38"/>
  <c r="L428" i="38"/>
  <c r="N394" i="35"/>
  <c r="J218" i="35"/>
  <c r="E287" i="38"/>
  <c r="J299" i="35"/>
  <c r="D348" i="38"/>
  <c r="E438" i="38"/>
  <c r="J128" i="35"/>
  <c r="F66" i="38"/>
  <c r="N242" i="35"/>
  <c r="E224" i="38"/>
  <c r="D277" i="38"/>
  <c r="M6" i="35"/>
  <c r="N132" i="35"/>
  <c r="F94" i="38"/>
  <c r="G35" i="38"/>
  <c r="M35" i="37"/>
  <c r="L419" i="38"/>
  <c r="D238" i="38"/>
  <c r="N206" i="35"/>
  <c r="N313" i="35"/>
  <c r="M256" i="35"/>
  <c r="L424" i="38"/>
  <c r="N113" i="35"/>
  <c r="P14" i="37"/>
  <c r="J26" i="37"/>
  <c r="F19" i="38"/>
  <c r="M200" i="35"/>
  <c r="G33" i="38"/>
  <c r="L32" i="35"/>
  <c r="G433" i="38"/>
  <c r="J153" i="35"/>
  <c r="M424" i="38"/>
  <c r="N5" i="35"/>
  <c r="G46" i="38"/>
  <c r="N137" i="35"/>
  <c r="H10" i="38"/>
  <c r="F12" i="38"/>
  <c r="K63" i="35"/>
  <c r="E270" i="38"/>
  <c r="D271" i="38"/>
  <c r="M213" i="35"/>
  <c r="D329" i="38"/>
  <c r="L423" i="38"/>
  <c r="E235" i="38"/>
  <c r="M6" i="37"/>
  <c r="H32" i="38"/>
  <c r="M210" i="35"/>
  <c r="J30" i="37"/>
  <c r="L31" i="35"/>
  <c r="N68" i="35"/>
  <c r="N5" i="37"/>
  <c r="J333" i="35"/>
  <c r="J94" i="35"/>
  <c r="M159" i="35"/>
  <c r="J16" i="35"/>
  <c r="E81" i="38"/>
  <c r="N63" i="35"/>
  <c r="D167" i="38"/>
  <c r="K43" i="35"/>
  <c r="E117" i="38"/>
  <c r="E190" i="38"/>
  <c r="N186" i="35"/>
  <c r="L49" i="35"/>
  <c r="N238" i="35"/>
  <c r="L123" i="35"/>
  <c r="D12" i="38"/>
  <c r="Q35" i="37"/>
  <c r="I417" i="38"/>
  <c r="D169" i="38"/>
  <c r="L30" i="35"/>
  <c r="E188" i="38"/>
  <c r="M233" i="35"/>
  <c r="P3" i="37"/>
  <c r="J22" i="35"/>
  <c r="J15" i="37"/>
  <c r="M67" i="35"/>
  <c r="F106" i="38"/>
  <c r="F198" i="38"/>
  <c r="L79" i="35"/>
  <c r="N356" i="35"/>
  <c r="F67" i="38"/>
  <c r="D10" i="38"/>
  <c r="M339" i="35"/>
  <c r="F76" i="38"/>
  <c r="J32" i="35"/>
  <c r="N105" i="35"/>
  <c r="N197" i="35"/>
  <c r="F103" i="38"/>
  <c r="L98" i="35"/>
  <c r="F361" i="38"/>
  <c r="N236" i="35"/>
  <c r="E280" i="38"/>
  <c r="Q5" i="37"/>
  <c r="M40" i="35"/>
  <c r="D308" i="38"/>
  <c r="M393" i="35"/>
  <c r="N11" i="37"/>
  <c r="M180" i="35"/>
  <c r="M330" i="35"/>
  <c r="J82" i="35"/>
  <c r="F170" i="38"/>
  <c r="G429" i="38"/>
  <c r="L119" i="35"/>
  <c r="E195" i="38"/>
  <c r="M300" i="35"/>
  <c r="J178" i="35"/>
  <c r="L80" i="35"/>
  <c r="J68" i="35"/>
  <c r="M388" i="35"/>
  <c r="F354" i="38"/>
  <c r="N326" i="35"/>
  <c r="N280" i="35"/>
  <c r="E207" i="38"/>
  <c r="E170" i="38"/>
  <c r="E66" i="38"/>
  <c r="N384" i="35"/>
  <c r="J235" i="35"/>
  <c r="F149" i="38"/>
  <c r="M316" i="35"/>
  <c r="I428" i="38"/>
  <c r="M63" i="35"/>
  <c r="J167" i="35"/>
  <c r="E194" i="38"/>
  <c r="J254" i="35"/>
  <c r="E209" i="38"/>
  <c r="J74" i="35"/>
  <c r="S15" i="37"/>
  <c r="M372" i="35"/>
  <c r="L23" i="37"/>
  <c r="D208" i="38"/>
  <c r="D162" i="38"/>
  <c r="J87" i="35"/>
  <c r="J69" i="35"/>
  <c r="N76" i="35"/>
  <c r="M202" i="35"/>
  <c r="D18" i="38"/>
  <c r="M239" i="35"/>
  <c r="F417" i="38"/>
  <c r="M57" i="35"/>
  <c r="G38" i="38"/>
  <c r="N193" i="35"/>
  <c r="E173" i="38"/>
  <c r="D196" i="38"/>
  <c r="J241" i="35"/>
  <c r="J20" i="35"/>
  <c r="E425" i="38"/>
  <c r="M259" i="35"/>
  <c r="N184" i="35"/>
  <c r="L18" i="35"/>
  <c r="E69" i="38"/>
  <c r="J100" i="35"/>
  <c r="R21" i="37"/>
  <c r="M3" i="37"/>
  <c r="N322" i="35"/>
  <c r="F384" i="38"/>
  <c r="M3" i="35"/>
  <c r="E272" i="38"/>
  <c r="E94" i="38"/>
  <c r="F78" i="38"/>
  <c r="E157" i="38"/>
  <c r="M380" i="35"/>
  <c r="D278" i="38"/>
  <c r="N119" i="35"/>
  <c r="F403" i="38"/>
  <c r="F176" i="38"/>
  <c r="M138" i="35"/>
  <c r="N207" i="35"/>
  <c r="F390" i="38"/>
  <c r="L440" i="38"/>
  <c r="F432" i="38"/>
  <c r="G8" i="38"/>
  <c r="F313" i="38"/>
  <c r="K426" i="38"/>
  <c r="L13" i="37"/>
  <c r="N339" i="35"/>
  <c r="N323" i="35"/>
  <c r="E247" i="38"/>
  <c r="D288" i="38"/>
  <c r="N90" i="35"/>
  <c r="N291" i="35"/>
  <c r="J27" i="37"/>
  <c r="J52" i="35"/>
  <c r="E223" i="38"/>
  <c r="J173" i="35"/>
  <c r="E151" i="38"/>
  <c r="F424" i="38"/>
  <c r="J4" i="35"/>
  <c r="H55" i="38"/>
  <c r="M363" i="35"/>
  <c r="K20" i="35"/>
  <c r="E228" i="38"/>
  <c r="L12" i="35"/>
  <c r="J263" i="35"/>
  <c r="J262" i="35"/>
  <c r="F71" i="38"/>
  <c r="D315" i="38"/>
  <c r="E405" i="38"/>
  <c r="J313" i="35"/>
  <c r="M322" i="35"/>
  <c r="J437" i="38"/>
  <c r="D215" i="38"/>
  <c r="F143" i="38"/>
  <c r="N29" i="35"/>
  <c r="Q15" i="37"/>
  <c r="L83" i="35"/>
  <c r="L10" i="35"/>
  <c r="F336" i="38"/>
  <c r="Q13" i="37"/>
  <c r="J265" i="35"/>
  <c r="J417" i="38"/>
  <c r="G12" i="38"/>
  <c r="J37" i="35"/>
  <c r="J144" i="35"/>
  <c r="M226" i="35"/>
  <c r="J73" i="35"/>
  <c r="N319" i="35"/>
  <c r="H36" i="38"/>
  <c r="J243" i="35"/>
  <c r="M84" i="35"/>
  <c r="N204" i="35"/>
  <c r="N370" i="35"/>
  <c r="F358" i="38"/>
  <c r="N399" i="35"/>
  <c r="F41" i="38"/>
  <c r="E102" i="38"/>
  <c r="J17" i="37"/>
  <c r="N45" i="35"/>
  <c r="F80" i="38"/>
  <c r="M111" i="35"/>
  <c r="J51" i="35"/>
  <c r="M122" i="35"/>
  <c r="M243" i="35"/>
  <c r="J318" i="35"/>
  <c r="L16" i="37"/>
  <c r="N220" i="35"/>
  <c r="E91" i="38"/>
  <c r="M252" i="35"/>
  <c r="D195" i="38"/>
  <c r="M205" i="35"/>
  <c r="E113" i="38"/>
  <c r="K7" i="35"/>
  <c r="E293" i="38"/>
  <c r="F178" i="38"/>
  <c r="E239" i="38"/>
  <c r="N65" i="35"/>
  <c r="J266" i="35"/>
  <c r="F301" i="38"/>
  <c r="N109" i="35"/>
  <c r="E137" i="38"/>
  <c r="L36" i="35"/>
  <c r="R16" i="37"/>
  <c r="M390" i="35"/>
  <c r="E51" i="38"/>
  <c r="H24" i="38"/>
  <c r="K34" i="35"/>
  <c r="E268" i="38"/>
  <c r="M368" i="35"/>
  <c r="J286" i="35"/>
  <c r="G24" i="38"/>
  <c r="E231" i="38"/>
  <c r="L434" i="38"/>
  <c r="E275" i="38"/>
  <c r="N365" i="35"/>
  <c r="E254" i="38"/>
  <c r="N378" i="35"/>
  <c r="L108" i="35"/>
  <c r="E129" i="38"/>
  <c r="N111" i="35"/>
  <c r="N81" i="35"/>
  <c r="J180" i="35"/>
  <c r="F418" i="38"/>
  <c r="F39" i="38"/>
  <c r="E2" i="38"/>
  <c r="N383" i="35"/>
  <c r="N371" i="35"/>
  <c r="G421" i="38"/>
  <c r="N195" i="35"/>
  <c r="E42" i="38"/>
  <c r="N302" i="35"/>
  <c r="N57" i="35"/>
  <c r="M286" i="35"/>
  <c r="E34" i="38"/>
  <c r="L105" i="35"/>
  <c r="M237" i="35"/>
  <c r="L63" i="35"/>
  <c r="N60" i="35"/>
  <c r="N298" i="35"/>
  <c r="J319" i="35"/>
  <c r="D217" i="38"/>
  <c r="M289" i="35"/>
  <c r="L67" i="35"/>
  <c r="J424" i="38"/>
  <c r="N247" i="35"/>
  <c r="M326" i="35"/>
  <c r="N405" i="35"/>
  <c r="N118" i="35"/>
  <c r="J438" i="38"/>
  <c r="L68" i="35"/>
  <c r="L43" i="35"/>
  <c r="M7" i="35"/>
  <c r="F28" i="38"/>
  <c r="J3" i="35"/>
  <c r="J105" i="35"/>
  <c r="F111" i="38"/>
  <c r="M344" i="35"/>
  <c r="F393" i="38"/>
  <c r="G20" i="38"/>
  <c r="M417" i="38"/>
  <c r="H30" i="38"/>
  <c r="J229" i="35"/>
  <c r="F153" i="38"/>
  <c r="N210" i="35"/>
  <c r="K62" i="35"/>
  <c r="F165" i="38"/>
  <c r="H61" i="38"/>
  <c r="F377" i="38"/>
  <c r="N133" i="35"/>
  <c r="J204" i="35"/>
  <c r="L33" i="35"/>
  <c r="O11" i="37"/>
  <c r="D337" i="38"/>
  <c r="M140" i="35"/>
  <c r="N396" i="35"/>
  <c r="F21" i="38"/>
  <c r="L124" i="35"/>
  <c r="L7" i="37"/>
  <c r="N436" i="38"/>
  <c r="D143" i="38"/>
  <c r="E411" i="38"/>
  <c r="N432" i="38"/>
  <c r="F185" i="38"/>
  <c r="F342" i="38"/>
  <c r="H435" i="38"/>
  <c r="J329" i="35"/>
  <c r="N169" i="35"/>
  <c r="J7" i="35"/>
  <c r="J331" i="35"/>
  <c r="I422" i="38"/>
  <c r="J162" i="35"/>
  <c r="L118" i="35"/>
  <c r="N333" i="35"/>
  <c r="M103" i="35"/>
  <c r="N165" i="35"/>
  <c r="K51" i="35"/>
  <c r="N351" i="35"/>
  <c r="M311" i="35"/>
  <c r="N226" i="35"/>
  <c r="E6" i="38"/>
  <c r="F155" i="38"/>
  <c r="J122" i="35"/>
  <c r="J114" i="35"/>
  <c r="F29" i="38"/>
  <c r="N368" i="35"/>
  <c r="E225" i="38"/>
  <c r="N435" i="38"/>
  <c r="M16" i="35"/>
  <c r="F137" i="38"/>
  <c r="M304" i="35"/>
  <c r="K433" i="38"/>
  <c r="J328" i="35"/>
  <c r="J215" i="35"/>
  <c r="N56" i="35"/>
  <c r="N87" i="35"/>
  <c r="N116" i="35"/>
  <c r="N128" i="35"/>
  <c r="J11" i="35"/>
  <c r="E71" i="38"/>
  <c r="N21" i="37"/>
  <c r="L429" i="38"/>
  <c r="K16" i="35"/>
  <c r="D340" i="38"/>
  <c r="E68" i="38"/>
  <c r="J189" i="35"/>
  <c r="F132" i="38"/>
  <c r="H21" i="38"/>
  <c r="F8" i="38"/>
  <c r="N381" i="35"/>
  <c r="N89" i="35"/>
  <c r="F369" i="38"/>
  <c r="N102" i="35"/>
  <c r="F192" i="38"/>
  <c r="D285" i="38"/>
  <c r="N158" i="35"/>
  <c r="R3" i="37"/>
  <c r="H56" i="38"/>
  <c r="N79" i="35"/>
  <c r="L45" i="35"/>
  <c r="M404" i="35"/>
  <c r="M328" i="35"/>
  <c r="K58" i="35"/>
  <c r="S11" i="37"/>
  <c r="N115" i="35"/>
  <c r="E122" i="38"/>
  <c r="L95" i="35"/>
  <c r="H428" i="38"/>
  <c r="L86" i="35"/>
  <c r="M189" i="35"/>
  <c r="E299" i="38"/>
  <c r="N156" i="35"/>
  <c r="N258" i="35"/>
  <c r="F73" i="38"/>
  <c r="H48" i="38"/>
  <c r="M60" i="35"/>
  <c r="K53" i="35"/>
  <c r="M215" i="35"/>
  <c r="D13" i="38"/>
  <c r="M420" i="38"/>
  <c r="D174" i="38"/>
  <c r="J187" i="35"/>
  <c r="J132" i="35"/>
  <c r="F422" i="38"/>
  <c r="I424" i="38"/>
  <c r="L116" i="35"/>
  <c r="M192" i="35"/>
  <c r="Q21" i="37"/>
  <c r="F401" i="38"/>
  <c r="E266" i="38"/>
  <c r="J89" i="35"/>
  <c r="F3" i="38"/>
  <c r="H25" i="38"/>
  <c r="E98" i="38"/>
  <c r="J23" i="37"/>
  <c r="L54" i="35"/>
  <c r="N121" i="35"/>
  <c r="J211" i="35"/>
  <c r="M285" i="35"/>
  <c r="D299" i="38"/>
  <c r="D178" i="38"/>
  <c r="L22" i="35"/>
  <c r="F321" i="38"/>
  <c r="D175" i="38"/>
  <c r="G4" i="38"/>
  <c r="D318" i="38"/>
  <c r="M318" i="35"/>
  <c r="J284" i="35"/>
  <c r="D314" i="38"/>
  <c r="N39" i="35"/>
  <c r="N304" i="35"/>
  <c r="F398" i="38"/>
  <c r="M241" i="35"/>
  <c r="N271" i="35"/>
  <c r="M371" i="35"/>
  <c r="F330" i="38"/>
  <c r="L35" i="35"/>
  <c r="E177" i="38"/>
  <c r="E233" i="38"/>
  <c r="L23" i="35"/>
  <c r="F10" i="38"/>
  <c r="M218" i="35"/>
  <c r="J81" i="35"/>
  <c r="M146" i="35"/>
  <c r="G39" i="38"/>
  <c r="N224" i="35"/>
  <c r="F122" i="38"/>
  <c r="E78" i="38"/>
  <c r="M38" i="35"/>
  <c r="J35" i="37"/>
  <c r="F395" i="38"/>
  <c r="M96" i="35"/>
  <c r="D250" i="38"/>
  <c r="F344" i="38"/>
  <c r="L21" i="35"/>
  <c r="J267" i="35"/>
  <c r="N361" i="35"/>
  <c r="F303" i="38"/>
  <c r="H11" i="38"/>
  <c r="K422" i="38"/>
  <c r="J282" i="35"/>
  <c r="J9" i="37"/>
  <c r="E256" i="38"/>
  <c r="F343" i="38"/>
  <c r="D338" i="38"/>
  <c r="J41" i="35"/>
  <c r="J191" i="35"/>
  <c r="E408" i="38"/>
  <c r="M115" i="35"/>
  <c r="M167" i="35"/>
  <c r="M386" i="35"/>
  <c r="J332" i="35"/>
  <c r="N237" i="35"/>
  <c r="F89" i="38"/>
  <c r="M389" i="35"/>
  <c r="E61" i="38"/>
  <c r="M284" i="35"/>
  <c r="J426" i="38"/>
  <c r="L24" i="35"/>
  <c r="L20" i="35"/>
  <c r="D269" i="38"/>
  <c r="M31" i="35"/>
  <c r="N10" i="37"/>
  <c r="D247" i="38"/>
  <c r="J72" i="35"/>
  <c r="J157" i="35"/>
  <c r="M61" i="35"/>
  <c r="N317" i="35"/>
  <c r="N222" i="35"/>
  <c r="M352" i="35"/>
  <c r="R15" i="37"/>
  <c r="N225" i="35"/>
  <c r="E250" i="38"/>
  <c r="N401" i="35"/>
  <c r="G440" i="38"/>
  <c r="N35" i="35"/>
  <c r="N42" i="35"/>
  <c r="G37" i="38"/>
  <c r="F368" i="38"/>
  <c r="E182" i="38"/>
  <c r="M15" i="37"/>
  <c r="N200" i="35"/>
  <c r="E291" i="38"/>
  <c r="K424" i="38"/>
  <c r="N38" i="35"/>
  <c r="M51" i="35"/>
  <c r="K37" i="35"/>
  <c r="J245" i="35"/>
  <c r="N376" i="35"/>
  <c r="N278" i="35"/>
  <c r="M17" i="35"/>
  <c r="D211" i="38"/>
  <c r="E162" i="38"/>
  <c r="E286" i="38"/>
  <c r="J58" i="35"/>
  <c r="M306" i="35"/>
  <c r="K439" i="38"/>
  <c r="J45" i="35"/>
  <c r="J18" i="35"/>
  <c r="J226" i="35"/>
  <c r="E292" i="38"/>
  <c r="F416" i="38"/>
  <c r="E201" i="38"/>
  <c r="E220" i="38"/>
  <c r="M181" i="35"/>
  <c r="D222" i="38"/>
  <c r="F83" i="38"/>
  <c r="K44" i="35"/>
  <c r="L97" i="35"/>
  <c r="E187" i="38"/>
  <c r="D139" i="38"/>
  <c r="E119" i="38"/>
  <c r="D158" i="38"/>
  <c r="Q16" i="37"/>
  <c r="J185" i="35"/>
  <c r="N17" i="35"/>
  <c r="F61" i="38"/>
  <c r="L14" i="37"/>
  <c r="M155" i="35"/>
  <c r="F117" i="38"/>
  <c r="G43" i="38"/>
  <c r="E23" i="38"/>
  <c r="M250" i="35"/>
  <c r="N398" i="35"/>
  <c r="N95" i="35"/>
  <c r="J203" i="35"/>
  <c r="F164" i="38"/>
  <c r="F145" i="38"/>
  <c r="J283" i="35"/>
  <c r="M245" i="35"/>
  <c r="K5" i="37"/>
  <c r="M209" i="35"/>
  <c r="E283" i="38"/>
  <c r="D342" i="38"/>
  <c r="O10" i="37"/>
  <c r="N321" i="35"/>
  <c r="N173" i="35"/>
  <c r="F123" i="38"/>
  <c r="E229" i="38"/>
  <c r="J13" i="37"/>
  <c r="M91" i="35"/>
  <c r="M112" i="35"/>
  <c r="N64" i="35"/>
  <c r="M130" i="35"/>
  <c r="E60" i="38"/>
  <c r="N277" i="35"/>
  <c r="J323" i="35"/>
  <c r="E114" i="38"/>
  <c r="M231" i="35"/>
  <c r="J281" i="35"/>
  <c r="E27" i="38"/>
  <c r="J326" i="35"/>
  <c r="E222" i="38"/>
  <c r="F26" i="38"/>
  <c r="K11" i="37"/>
  <c r="L94" i="35"/>
  <c r="M121" i="35"/>
  <c r="F374" i="38"/>
  <c r="N292" i="35"/>
  <c r="M266" i="35"/>
  <c r="M36" i="35"/>
  <c r="F406" i="38"/>
  <c r="H423" i="38"/>
  <c r="N92" i="35"/>
  <c r="E262" i="38"/>
  <c r="D282" i="38"/>
  <c r="J205" i="35"/>
  <c r="J145" i="35"/>
  <c r="M105" i="35"/>
  <c r="J60" i="35"/>
  <c r="N364" i="35"/>
  <c r="N134" i="35"/>
  <c r="N144" i="35"/>
  <c r="N140" i="35"/>
  <c r="J436" i="38"/>
  <c r="N274" i="35"/>
  <c r="I423" i="38"/>
  <c r="M278" i="35"/>
  <c r="L87" i="35"/>
  <c r="F120" i="38"/>
  <c r="M170" i="35"/>
  <c r="N18" i="35"/>
  <c r="F72" i="38"/>
  <c r="F60" i="38"/>
  <c r="M217" i="35"/>
  <c r="E204" i="38"/>
  <c r="H14" i="38"/>
  <c r="N24" i="35"/>
  <c r="F70" i="38"/>
  <c r="F397" i="38"/>
  <c r="J308" i="35"/>
  <c r="D218" i="38"/>
  <c r="D272" i="38"/>
  <c r="D226" i="38"/>
  <c r="L432" i="38"/>
  <c r="D159" i="38"/>
  <c r="J138" i="35"/>
  <c r="P9" i="37"/>
  <c r="F25" i="38"/>
  <c r="N80" i="35"/>
  <c r="P17" i="37"/>
  <c r="F144" i="38"/>
  <c r="D210" i="38"/>
  <c r="E297" i="38"/>
  <c r="M319" i="35"/>
  <c r="J47" i="35"/>
  <c r="E199" i="38"/>
  <c r="N123" i="35"/>
  <c r="E75" i="38"/>
  <c r="N167" i="35"/>
  <c r="N211" i="35"/>
  <c r="N112" i="35"/>
  <c r="K66" i="35"/>
  <c r="L64" i="35"/>
  <c r="D321" i="38"/>
  <c r="F162" i="38"/>
  <c r="D328" i="38"/>
  <c r="J28" i="37"/>
  <c r="M15" i="35"/>
  <c r="N438" i="38"/>
  <c r="N300" i="35"/>
  <c r="N58" i="35"/>
  <c r="J307" i="35"/>
  <c r="M148" i="35"/>
  <c r="F339" i="38"/>
  <c r="J121" i="35"/>
  <c r="K14" i="35"/>
  <c r="M221" i="35"/>
  <c r="M401" i="35"/>
  <c r="E264" i="38"/>
  <c r="D7" i="38"/>
  <c r="E127" i="38"/>
  <c r="M342" i="35"/>
  <c r="Q7" i="37"/>
  <c r="G3" i="38"/>
  <c r="N257" i="35"/>
  <c r="F87" i="38"/>
  <c r="J77" i="35"/>
  <c r="F365" i="38"/>
  <c r="J62" i="35"/>
  <c r="D219" i="38"/>
  <c r="S17" i="37"/>
  <c r="E243" i="38"/>
  <c r="N348" i="35"/>
  <c r="N70" i="35"/>
  <c r="J320" i="35"/>
  <c r="N372" i="35"/>
  <c r="J139" i="35"/>
  <c r="J240" i="35"/>
  <c r="N290" i="35"/>
  <c r="N369" i="35"/>
  <c r="H17" i="38"/>
  <c r="M423" i="38"/>
  <c r="N294" i="35"/>
  <c r="N221" i="35"/>
  <c r="N11" i="35"/>
  <c r="F426" i="38"/>
  <c r="L110" i="35"/>
  <c r="J78" i="35"/>
  <c r="N139" i="35"/>
  <c r="E105" i="38"/>
  <c r="J418" i="38"/>
  <c r="J184" i="35"/>
  <c r="F316" i="38"/>
  <c r="J431" i="38"/>
  <c r="H49" i="38"/>
  <c r="F161" i="38"/>
  <c r="J80" i="35"/>
  <c r="J183" i="35"/>
  <c r="G417" i="38"/>
  <c r="D294" i="38"/>
  <c r="D280" i="38"/>
  <c r="M325" i="35"/>
  <c r="M45" i="35"/>
  <c r="J64" i="35"/>
  <c r="M224" i="35"/>
  <c r="M19" i="37"/>
  <c r="G9" i="38"/>
  <c r="M212" i="35"/>
  <c r="J325" i="35"/>
  <c r="F186" i="38"/>
  <c r="J166" i="35"/>
  <c r="K57" i="35"/>
  <c r="E92" i="38"/>
  <c r="N100" i="35"/>
  <c r="H3" i="38"/>
  <c r="L425" i="38"/>
  <c r="N36" i="35"/>
  <c r="M135" i="35"/>
  <c r="N59" i="35"/>
  <c r="L73" i="35"/>
  <c r="D201" i="38"/>
  <c r="D249" i="38"/>
  <c r="F92" i="38"/>
  <c r="L120" i="35"/>
  <c r="N268" i="35"/>
  <c r="G36" i="38"/>
  <c r="E41" i="38"/>
  <c r="E48" i="38"/>
  <c r="M77" i="35"/>
  <c r="L104" i="35"/>
  <c r="O23" i="37"/>
  <c r="F114" i="38"/>
  <c r="E216" i="38"/>
  <c r="L25" i="35"/>
  <c r="S13" i="37"/>
  <c r="E219" i="38"/>
  <c r="J133" i="35"/>
  <c r="N72" i="35"/>
  <c r="D11" i="38"/>
  <c r="P23" i="37"/>
  <c r="N9" i="37"/>
  <c r="M120" i="35"/>
  <c r="J182" i="35"/>
  <c r="G34" i="38"/>
  <c r="K29" i="35"/>
  <c r="J338" i="35"/>
  <c r="J2" i="35"/>
  <c r="K39" i="35"/>
  <c r="N223" i="35"/>
  <c r="M32" i="35"/>
  <c r="N190" i="35"/>
  <c r="M229" i="35"/>
  <c r="J236" i="35"/>
  <c r="J419" i="38"/>
  <c r="G66" i="38"/>
  <c r="D292" i="38"/>
  <c r="E13" i="38"/>
  <c r="M109" i="35"/>
  <c r="N77" i="35"/>
  <c r="N420" i="38"/>
  <c r="F383" i="38"/>
  <c r="N86" i="35"/>
  <c r="O21" i="37"/>
  <c r="M421" i="38"/>
  <c r="P35" i="37"/>
  <c r="J156" i="35"/>
  <c r="M95" i="35"/>
  <c r="G435" i="38"/>
  <c r="D160" i="38"/>
  <c r="D263" i="38"/>
  <c r="H28" i="38"/>
  <c r="J280" i="35"/>
  <c r="M355" i="35"/>
  <c r="F62" i="38"/>
  <c r="M303" i="35"/>
  <c r="I436" i="38"/>
  <c r="K13" i="37"/>
  <c r="D289" i="38"/>
  <c r="M50" i="35"/>
  <c r="J10" i="35"/>
  <c r="M405" i="35"/>
  <c r="F58" i="38"/>
  <c r="F81" i="38"/>
  <c r="J298" i="35"/>
  <c r="E420" i="38"/>
  <c r="E45" i="38"/>
  <c r="H417" i="38"/>
  <c r="D260" i="38"/>
  <c r="M251" i="35"/>
  <c r="K13" i="35"/>
  <c r="M157" i="35"/>
  <c r="N245" i="35"/>
  <c r="L51" i="35"/>
  <c r="D153" i="38"/>
  <c r="N430" i="38"/>
  <c r="J292" i="35"/>
  <c r="L37" i="35"/>
  <c r="N279" i="35"/>
  <c r="M16" i="37"/>
  <c r="J300" i="35"/>
  <c r="F18" i="38"/>
  <c r="F160" i="38"/>
  <c r="K432" i="38"/>
  <c r="E43" i="38"/>
  <c r="K30" i="35"/>
  <c r="M194" i="35"/>
  <c r="M260" i="35"/>
  <c r="J127" i="35"/>
  <c r="N244" i="35"/>
  <c r="E89" i="38"/>
  <c r="M370" i="35"/>
  <c r="F194" i="38"/>
  <c r="J168" i="35"/>
  <c r="J3" i="37"/>
  <c r="D237" i="38"/>
  <c r="J246" i="35"/>
  <c r="E205" i="38"/>
  <c r="F360" i="38"/>
  <c r="K61" i="35"/>
  <c r="M287" i="35"/>
  <c r="N272" i="35"/>
  <c r="K50" i="35"/>
  <c r="N93" i="35"/>
  <c r="N61" i="35"/>
  <c r="J12" i="35"/>
  <c r="H68" i="38"/>
  <c r="M203" i="35"/>
  <c r="J151" i="35"/>
  <c r="J143" i="35"/>
  <c r="K21" i="35"/>
  <c r="N40" i="35"/>
  <c r="L111" i="35"/>
  <c r="F431" i="38"/>
  <c r="M49" i="35"/>
  <c r="N181" i="35"/>
  <c r="N427" i="38"/>
  <c r="J297" i="35"/>
  <c r="E25" i="38"/>
  <c r="J341" i="35"/>
  <c r="D147" i="38"/>
  <c r="E274" i="38"/>
  <c r="E192" i="38"/>
  <c r="M257" i="35"/>
  <c r="K48" i="35"/>
  <c r="M178" i="35"/>
  <c r="H54" i="38"/>
  <c r="E40" i="38"/>
  <c r="M53" i="35"/>
  <c r="D334" i="38"/>
  <c r="L117" i="35"/>
  <c r="J23" i="35"/>
  <c r="L435" i="38"/>
  <c r="F142" i="38"/>
  <c r="N255" i="35"/>
  <c r="E109" i="38"/>
  <c r="F74" i="38"/>
  <c r="D216" i="38"/>
  <c r="J111" i="35"/>
  <c r="L421" i="38"/>
  <c r="E134" i="38"/>
  <c r="N390" i="35"/>
  <c r="N17" i="37"/>
  <c r="N208" i="35"/>
  <c r="J10" i="37"/>
  <c r="G27" i="38"/>
  <c r="E403" i="38"/>
  <c r="L433" i="38"/>
  <c r="M52" i="35"/>
  <c r="F102" i="38"/>
  <c r="D275" i="38"/>
  <c r="E47" i="38"/>
  <c r="E138" i="38"/>
  <c r="J288" i="35"/>
  <c r="J70" i="35"/>
  <c r="D296" i="38"/>
  <c r="N261" i="35"/>
  <c r="E197" i="38"/>
  <c r="E435" i="38"/>
  <c r="F90" i="38"/>
  <c r="K22" i="35"/>
  <c r="F357" i="38"/>
  <c r="Q17" i="37"/>
  <c r="I431" i="38"/>
  <c r="E433" i="38"/>
  <c r="H427" i="38"/>
  <c r="N205" i="35"/>
  <c r="E31" i="38"/>
  <c r="F44" i="38"/>
  <c r="J324" i="35"/>
  <c r="M244" i="35"/>
  <c r="D206" i="38"/>
  <c r="H23" i="38"/>
  <c r="M119" i="35"/>
  <c r="N243" i="35"/>
  <c r="M27" i="35"/>
  <c r="M151" i="35"/>
  <c r="M255" i="35"/>
  <c r="J310" i="35"/>
  <c r="D156" i="38"/>
  <c r="J258" i="35"/>
  <c r="M292" i="35"/>
  <c r="F148" i="38"/>
  <c r="F99" i="38"/>
  <c r="J274" i="35"/>
  <c r="F349" i="38"/>
  <c r="Q10" i="37"/>
  <c r="M207" i="35"/>
  <c r="F112" i="38"/>
  <c r="M154" i="35"/>
  <c r="J272" i="35"/>
  <c r="M56" i="35"/>
  <c r="M165" i="35"/>
  <c r="F131" i="38"/>
  <c r="G14" i="38"/>
  <c r="E49" i="38"/>
  <c r="F69" i="38"/>
  <c r="K12" i="35"/>
  <c r="E12" i="38"/>
  <c r="M23" i="35"/>
  <c r="N15" i="37"/>
  <c r="K9" i="35"/>
  <c r="N155" i="35"/>
  <c r="E128" i="38"/>
  <c r="N229" i="35"/>
  <c r="D327" i="38"/>
  <c r="K35" i="35"/>
  <c r="J289" i="35"/>
  <c r="F312" i="38"/>
  <c r="E18" i="38"/>
  <c r="J31" i="35"/>
  <c r="R35" i="37"/>
  <c r="J287" i="35"/>
  <c r="D193" i="38"/>
  <c r="D191" i="38"/>
  <c r="F191" i="38"/>
  <c r="E80" i="38"/>
  <c r="P19" i="37"/>
  <c r="E144" i="38"/>
  <c r="H46" i="38"/>
  <c r="H44" i="38"/>
  <c r="F79" i="38"/>
  <c r="N145" i="35"/>
  <c r="K19" i="35"/>
  <c r="H420" i="38"/>
  <c r="F315" i="38"/>
  <c r="N215" i="35"/>
  <c r="M376" i="35"/>
  <c r="L17" i="35"/>
  <c r="N8" i="35"/>
  <c r="J154" i="35"/>
  <c r="E171" i="38"/>
  <c r="D274" i="38"/>
  <c r="L103" i="35"/>
  <c r="J219" i="35"/>
  <c r="N179" i="35"/>
  <c r="P13" i="37"/>
  <c r="L135" i="35"/>
  <c r="J21" i="35"/>
  <c r="L76" i="35"/>
  <c r="J31" i="37"/>
  <c r="N14" i="37"/>
  <c r="L11" i="37"/>
  <c r="F35" i="38"/>
  <c r="F337" i="38"/>
  <c r="O3" i="37"/>
  <c r="M329" i="35"/>
  <c r="L11" i="35"/>
  <c r="N265" i="35"/>
  <c r="M359" i="35"/>
  <c r="N433" i="38"/>
  <c r="E84" i="38"/>
  <c r="J113" i="35"/>
  <c r="M66" i="35"/>
  <c r="M199" i="35"/>
  <c r="D258" i="38"/>
  <c r="G67" i="38"/>
  <c r="H31" i="38"/>
  <c r="D181" i="38"/>
  <c r="P7" i="37"/>
  <c r="L5" i="37"/>
  <c r="F380" i="38"/>
  <c r="F34" i="38"/>
  <c r="N341" i="35"/>
  <c r="L15" i="37"/>
  <c r="F195" i="38"/>
  <c r="M422" i="38"/>
  <c r="L438" i="38"/>
  <c r="J99" i="35"/>
  <c r="L29" i="35"/>
  <c r="M307" i="35"/>
  <c r="N309" i="35"/>
  <c r="D322" i="38"/>
  <c r="E186" i="38"/>
  <c r="H5" i="38"/>
  <c r="E65" i="38"/>
  <c r="J21" i="37"/>
  <c r="M418" i="38"/>
  <c r="N307" i="35"/>
  <c r="J135" i="35"/>
  <c r="J137" i="35"/>
  <c r="M382" i="35"/>
  <c r="J124" i="35"/>
  <c r="G29" i="38"/>
  <c r="M332" i="35"/>
  <c r="J177" i="35"/>
  <c r="J27" i="35"/>
  <c r="F320" i="38"/>
  <c r="N373" i="35"/>
  <c r="N389" i="35"/>
  <c r="G422" i="38"/>
  <c r="N88" i="35"/>
  <c r="I418" i="38"/>
  <c r="N21" i="35"/>
  <c r="F347" i="38"/>
  <c r="J26" i="35"/>
  <c r="N110" i="35"/>
  <c r="N4" i="35"/>
  <c r="E279" i="38"/>
  <c r="J171" i="35"/>
  <c r="J190" i="35"/>
  <c r="H64" i="38"/>
  <c r="F396" i="38"/>
  <c r="J213" i="35"/>
  <c r="M110" i="35"/>
  <c r="N332" i="35"/>
  <c r="D229" i="38"/>
  <c r="M158" i="35"/>
  <c r="M333" i="35"/>
  <c r="M351" i="35"/>
  <c r="G19" i="38"/>
  <c r="L69" i="35"/>
  <c r="L112" i="35"/>
  <c r="L46" i="35"/>
  <c r="D168" i="38"/>
  <c r="M14" i="35"/>
  <c r="J59" i="35"/>
  <c r="J303" i="35"/>
  <c r="K428" i="38"/>
  <c r="F190" i="38"/>
  <c r="M220" i="35"/>
  <c r="K420" i="38"/>
  <c r="M101" i="35"/>
  <c r="N192" i="35"/>
  <c r="M83" i="35"/>
  <c r="J66" i="35"/>
  <c r="N314" i="35"/>
  <c r="M182" i="35"/>
  <c r="E50" i="38"/>
  <c r="E196" i="38"/>
  <c r="M82" i="35"/>
  <c r="N347" i="35"/>
  <c r="M196" i="35"/>
  <c r="F329" i="38"/>
  <c r="N392" i="35"/>
  <c r="M248" i="35"/>
  <c r="D202" i="38"/>
  <c r="N147" i="35"/>
  <c r="D324" i="38"/>
  <c r="J125" i="35"/>
  <c r="M2" i="35"/>
  <c r="E149" i="38"/>
  <c r="F353" i="38"/>
  <c r="D157" i="38"/>
  <c r="J428" i="38"/>
  <c r="D287" i="38"/>
  <c r="L114" i="35"/>
  <c r="L56" i="35"/>
  <c r="D305" i="38"/>
  <c r="J90" i="35"/>
  <c r="N138" i="35"/>
  <c r="N441" i="38"/>
  <c r="M357" i="35"/>
  <c r="N431" i="38"/>
  <c r="J33" i="35"/>
  <c r="N62" i="35"/>
  <c r="F46" i="38"/>
  <c r="N157" i="35"/>
  <c r="F151" i="38"/>
  <c r="E416" i="38"/>
  <c r="G434" i="38"/>
  <c r="N335" i="35"/>
  <c r="E155" i="38"/>
  <c r="M403" i="35"/>
  <c r="F428" i="38"/>
  <c r="N53" i="35"/>
  <c r="D230" i="38"/>
  <c r="N54" i="35"/>
  <c r="D166" i="38"/>
  <c r="N143" i="35"/>
  <c r="J49" i="35"/>
  <c r="F139" i="38"/>
  <c r="M436" i="38"/>
  <c r="G428" i="38"/>
  <c r="F356" i="38"/>
  <c r="M13" i="35"/>
  <c r="E133" i="38"/>
  <c r="K27" i="35"/>
  <c r="H419" i="38"/>
  <c r="N269" i="35"/>
  <c r="E236" i="38"/>
  <c r="D257" i="38"/>
  <c r="M126" i="35"/>
  <c r="J63" i="35"/>
  <c r="E440" i="38"/>
  <c r="F13" i="38"/>
  <c r="M143" i="35"/>
  <c r="D180" i="38"/>
  <c r="J65" i="35"/>
  <c r="E21" i="38"/>
  <c r="J312" i="35"/>
  <c r="L90" i="35"/>
  <c r="F126" i="38"/>
  <c r="R17" i="37"/>
  <c r="N366" i="35"/>
  <c r="E226" i="38"/>
  <c r="J207" i="35"/>
  <c r="J227" i="35"/>
  <c r="J147" i="35"/>
  <c r="R10" i="37"/>
  <c r="F77" i="38"/>
  <c r="J112" i="35"/>
  <c r="D183" i="38"/>
  <c r="E176" i="38"/>
  <c r="F319" i="38"/>
  <c r="M141" i="35"/>
  <c r="N216" i="35"/>
  <c r="E253" i="38"/>
  <c r="J44" i="35"/>
  <c r="H425" i="38"/>
  <c r="M5" i="35"/>
  <c r="J169" i="35"/>
  <c r="M299" i="35"/>
  <c r="F188" i="38"/>
  <c r="L9" i="35"/>
  <c r="M29" i="35"/>
  <c r="E418" i="38"/>
  <c r="M365" i="35"/>
  <c r="G28" i="38"/>
  <c r="E169" i="38"/>
  <c r="M18" i="35"/>
  <c r="L44" i="35"/>
  <c r="S7" i="37"/>
  <c r="F307" i="38"/>
  <c r="E72" i="38"/>
  <c r="M37" i="35"/>
  <c r="L128" i="35"/>
  <c r="J186" i="35"/>
  <c r="E15" i="38"/>
  <c r="F409" i="38"/>
  <c r="M400" i="35"/>
  <c r="G56" i="38"/>
  <c r="N342" i="35"/>
  <c r="F166" i="38"/>
  <c r="E429" i="38"/>
  <c r="L134" i="35"/>
  <c r="D254" i="38"/>
  <c r="P16" i="37"/>
  <c r="M426" i="38"/>
  <c r="F423" i="38"/>
  <c r="F375" i="38"/>
  <c r="Q3" i="37"/>
  <c r="F124" i="38"/>
  <c r="M407" i="35"/>
  <c r="L2" i="35"/>
  <c r="I429" i="38"/>
  <c r="M97" i="35"/>
  <c r="F16" i="38"/>
  <c r="F387" i="38"/>
  <c r="E36" i="38"/>
  <c r="E115" i="38"/>
  <c r="M185" i="35"/>
  <c r="L85" i="35"/>
  <c r="L9" i="37"/>
  <c r="F38" i="38"/>
  <c r="J106" i="35"/>
  <c r="D303" i="38"/>
  <c r="D184" i="38"/>
  <c r="H441" i="38"/>
  <c r="D293" i="38"/>
  <c r="M308" i="35"/>
  <c r="J14" i="37"/>
  <c r="M269" i="35"/>
  <c r="E150" i="38"/>
  <c r="H41" i="38"/>
  <c r="N311" i="35"/>
  <c r="E67" i="38"/>
  <c r="J261" i="35"/>
  <c r="N288" i="35"/>
  <c r="S3" i="37"/>
  <c r="E156" i="38"/>
  <c r="J103" i="35"/>
  <c r="N357" i="35"/>
  <c r="K55" i="35"/>
  <c r="M381" i="35"/>
  <c r="N6" i="37"/>
  <c r="E431" i="38"/>
  <c r="E58" i="38"/>
  <c r="E248" i="38"/>
  <c r="M427" i="38"/>
  <c r="F394" i="38"/>
  <c r="K427" i="38"/>
  <c r="K36" i="35"/>
  <c r="M23" i="37"/>
  <c r="G40" i="38"/>
  <c r="J264" i="35"/>
  <c r="E160" i="38"/>
  <c r="M125" i="35"/>
  <c r="N31" i="35"/>
  <c r="J220" i="35"/>
  <c r="H2" i="38"/>
  <c r="M98" i="35"/>
  <c r="N303" i="35"/>
  <c r="R23" i="37"/>
  <c r="M179" i="35"/>
  <c r="N305" i="35"/>
  <c r="J271" i="35"/>
  <c r="F324" i="38"/>
  <c r="E74" i="38"/>
  <c r="M240" i="35"/>
  <c r="J129" i="35"/>
  <c r="M190" i="35"/>
  <c r="F31" i="38"/>
  <c r="J255" i="35"/>
  <c r="E140" i="38"/>
  <c r="D204" i="38"/>
  <c r="N353" i="35"/>
  <c r="D291" i="38"/>
  <c r="E166" i="38"/>
  <c r="F107" i="38"/>
  <c r="N402" i="35"/>
  <c r="E212" i="38"/>
  <c r="N26" i="35"/>
  <c r="M72" i="35"/>
  <c r="D331" i="38"/>
  <c r="N425" i="38"/>
  <c r="H16" i="38"/>
  <c r="N334" i="35"/>
  <c r="J232" i="35"/>
  <c r="M277" i="35"/>
  <c r="M353" i="35"/>
  <c r="N428" i="38"/>
  <c r="D8" i="38"/>
  <c r="N340" i="35"/>
  <c r="M238" i="35"/>
  <c r="N104" i="35"/>
  <c r="F389" i="38"/>
  <c r="J327" i="35"/>
  <c r="M107" i="35"/>
  <c r="F173" i="38"/>
  <c r="K437" i="38"/>
  <c r="L16" i="35"/>
  <c r="N85" i="35"/>
  <c r="E37" i="38"/>
  <c r="M4" i="35"/>
  <c r="Q9" i="37"/>
  <c r="K423" i="38"/>
  <c r="J134" i="35"/>
  <c r="S5" i="37"/>
  <c r="K24" i="35"/>
  <c r="J234" i="35"/>
  <c r="J315" i="35"/>
  <c r="I419" i="38"/>
  <c r="L129" i="35"/>
  <c r="D242" i="38"/>
  <c r="N426" i="38"/>
  <c r="L431" i="38"/>
  <c r="N337" i="35"/>
  <c r="D220" i="38"/>
  <c r="E76" i="38"/>
  <c r="F113" i="38"/>
  <c r="M384" i="35"/>
  <c r="E183" i="38"/>
  <c r="E401" i="38"/>
  <c r="E82" i="38"/>
  <c r="E424" i="38"/>
  <c r="F408" i="38"/>
  <c r="D307" i="38"/>
  <c r="P5" i="37"/>
  <c r="F134" i="38"/>
  <c r="G65" i="38"/>
  <c r="N286" i="35"/>
  <c r="E260" i="38"/>
  <c r="M14" i="37"/>
  <c r="N248" i="35"/>
  <c r="L115" i="35"/>
  <c r="M156" i="35"/>
  <c r="N14" i="35"/>
  <c r="M253" i="35"/>
  <c r="K19" i="37"/>
  <c r="M162" i="35"/>
  <c r="J25" i="37"/>
  <c r="D320" i="38"/>
  <c r="D203" i="38"/>
  <c r="D344" i="38"/>
  <c r="G17" i="38"/>
  <c r="M10" i="37"/>
  <c r="F400" i="38"/>
  <c r="F147" i="38"/>
  <c r="H22" i="38"/>
  <c r="G423" i="38"/>
  <c r="N125" i="35"/>
  <c r="J148" i="35"/>
  <c r="N6" i="35"/>
  <c r="I420" i="38"/>
  <c r="L102" i="35"/>
  <c r="D347" i="38"/>
  <c r="F146" i="38"/>
  <c r="J38" i="35"/>
  <c r="E180" i="38"/>
  <c r="J83" i="35"/>
  <c r="I425" i="38"/>
  <c r="K3" i="35"/>
  <c r="N96" i="35"/>
  <c r="H430" i="38"/>
  <c r="D165" i="38"/>
  <c r="J5" i="35"/>
  <c r="F314" i="38"/>
  <c r="J242" i="35"/>
  <c r="F366" i="38"/>
  <c r="F392" i="38"/>
  <c r="F425" i="38"/>
  <c r="J309" i="35"/>
  <c r="G438" i="38"/>
  <c r="D200" i="38"/>
  <c r="H66" i="38"/>
  <c r="J42" i="35"/>
  <c r="F340" i="38"/>
  <c r="L10" i="37"/>
  <c r="S19" i="37"/>
  <c r="J239" i="35"/>
  <c r="N315" i="35"/>
  <c r="J208" i="35"/>
  <c r="F399" i="38"/>
  <c r="J434" i="38"/>
  <c r="M360" i="35"/>
  <c r="F411" i="38"/>
  <c r="F136" i="38"/>
  <c r="O17" i="37"/>
  <c r="N241" i="35"/>
  <c r="H42" i="3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<sst xmlns="http://schemas.openxmlformats.org/spreadsheetml/2006/main" count="4800" uniqueCount="3084">
  <si>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</si>
  <si>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</si>
  <si>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</si>
  <si>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</si>
  <si>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</si>
  <si>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</si>
  <si>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</si>
  <si>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</si>
  <si>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</si>
  <si>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</si>
  <si>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</si>
  <si>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</si>
  <si>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</si>
  <si>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</si>
  <si>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</si>
  <si>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</si>
  <si>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</si>
  <si>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</si>
  <si>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</si>
  <si>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</si>
  <si>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</si>
  <si>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</si>
  <si>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</si>
  <si>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</si>
  <si>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</si>
  <si>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</si>
  <si>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</si>
  <si>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</si>
  <si>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</si>
  <si>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</si>
  <si>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</si>
  <si>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</si>
  <si>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</si>
  <si>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</si>
  <si>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</si>
  <si>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</si>
  <si>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</si>
  <si>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</si>
  <si>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</si>
  <si>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</si>
  <si>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</si>
  <si>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</si>
  <si>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</si>
  <si>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</si>
  <si>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</si>
  <si>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</si>
  <si>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</si>
  <si>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</si>
  <si>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</si>
  <si>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</si>
  <si>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</si>
  <si>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</si>
  <si>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</si>
  <si>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</si>
  <si>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</si>
  <si>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</si>
  <si>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</si>
  <si>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</si>
  <si>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</si>
  <si>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</si>
  <si>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</si>
  <si>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</si>
  <si>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</si>
  <si>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</si>
  <si>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</si>
  <si>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</si>
  <si>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</si>
  <si>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</si>
  <si>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</si>
  <si>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</si>
  <si>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</si>
  <si>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</si>
  <si>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</si>
  <si>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</si>
  <si>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</si>
  <si>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</si>
  <si>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</si>
  <si>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</si>
  <si>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</si>
  <si>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</si>
  <si>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</si>
  <si>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</si>
  <si>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</si>
  <si>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</si>
  <si>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</si>
  <si>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</si>
  <si>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</si>
  <si>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</si>
  <si>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</si>
  <si>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</si>
  <si>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</si>
  <si>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</si>
  <si>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</si>
  <si>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</si>
  <si>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</si>
  <si>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</si>
  <si>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</si>
  <si>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</si>
  <si>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</si>
  <si>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</si>
  <si>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</si>
  <si>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</si>
  <si>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</si>
  <si>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</si>
  <si>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</si>
  <si>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</si>
  <si>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</si>
  <si>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</si>
  <si>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</si>
  <si>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</si>
  <si>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</si>
  <si>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</si>
  <si>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</si>
  <si>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</si>
  <si>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</si>
  <si>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</si>
  <si>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</si>
  <si>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</si>
  <si>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</si>
  <si>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</si>
  <si>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</si>
  <si>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</si>
  <si>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</si>
  <si>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</si>
  <si>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</si>
  <si>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</si>
  <si>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</si>
  <si>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</si>
  <si>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</si>
  <si>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</si>
  <si>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</si>
  <si>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</si>
  <si>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</si>
  <si>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</si>
  <si>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</si>
  <si>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</si>
  <si>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</si>
  <si>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</si>
  <si>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</si>
  <si>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</si>
  <si>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</si>
  <si>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</si>
  <si>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</si>
  <si>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</si>
  <si>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</si>
  <si>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</si>
  <si>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</si>
  <si>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</si>
  <si>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</si>
  <si>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</si>
  <si>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</si>
  <si>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</si>
  <si>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</si>
  <si>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</si>
  <si>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</si>
  <si>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</si>
  <si>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</si>
  <si>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</si>
  <si>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</si>
  <si>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</si>
  <si>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</si>
  <si>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</si>
  <si>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</si>
  <si>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</si>
  <si>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</si>
  <si>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</si>
  <si>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</si>
  <si>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</si>
  <si>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</si>
  <si>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</si>
  <si>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</si>
  <si>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</si>
  <si>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</si>
  <si>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</si>
  <si>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</si>
  <si>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</si>
  <si>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</si>
  <si>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</si>
  <si>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</si>
  <si>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</si>
  <si>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</si>
  <si>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</si>
  <si>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</si>
  <si>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</si>
  <si>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</si>
  <si>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</si>
  <si>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</si>
  <si>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</si>
  <si>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</si>
  <si>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</si>
  <si>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</si>
  <si>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</si>
  <si>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</si>
  <si>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</si>
  <si>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</si>
  <si>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</si>
  <si>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</si>
  <si>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</si>
  <si>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</si>
  <si>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</si>
  <si>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</si>
  <si>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</si>
  <si>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</si>
  <si>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</si>
  <si>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</si>
  <si>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</si>
  <si>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</si>
  <si>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</si>
  <si>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</si>
  <si>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</si>
  <si>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</si>
  <si>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</si>
  <si>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</si>
  <si>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</si>
  <si>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</si>
  <si>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</si>
  <si>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</si>
  <si>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</si>
  <si>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</si>
  <si>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</si>
  <si>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</si>
  <si>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</si>
  <si>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</si>
  <si>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</si>
  <si>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</si>
  <si>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</si>
  <si>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</si>
  <si>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</si>
  <si>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</si>
  <si>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</si>
  <si>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</si>
  <si>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</si>
  <si>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</si>
  <si>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</si>
  <si>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</si>
  <si>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</si>
  <si>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</si>
  <si>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</si>
  <si>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</si>
  <si>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</si>
  <si>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</si>
  <si>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</si>
  <si>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</si>
  <si>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</si>
  <si>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</si>
  <si>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</si>
  <si>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</si>
  <si>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</si>
  <si>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</si>
  <si>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</si>
  <si>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</si>
  <si>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</si>
  <si>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</si>
  <si>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</si>
  <si>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</si>
  <si>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</si>
  <si>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</si>
  <si>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</si>
  <si>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</si>
  <si>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</si>
  <si>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</si>
  <si>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</si>
  <si>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</si>
  <si>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</si>
  <si>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</si>
  <si>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</si>
  <si>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</si>
  <si>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</si>
  <si>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</si>
  <si>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</si>
  <si>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</si>
  <si>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</si>
  <si>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</si>
  <si>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</si>
  <si>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</si>
  <si>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</si>
  <si>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</si>
  <si>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</si>
  <si>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</si>
  <si>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</si>
  <si>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</si>
  <si>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</si>
  <si>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</si>
  <si>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</si>
  <si>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</si>
  <si>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</si>
  <si>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</si>
  <si>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</si>
  <si>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</si>
  <si>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</si>
  <si>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</si>
  <si>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</si>
  <si>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</si>
  <si>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</si>
  <si>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</si>
  <si>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</si>
  <si>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</si>
  <si>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</si>
  <si>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</si>
  <si>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</si>
  <si>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</si>
  <si>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</si>
  <si>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</si>
  <si>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</si>
  <si>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</si>
  <si>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</si>
  <si>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</si>
  <si>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</si>
  <si>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</si>
  <si>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</si>
  <si>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</si>
  <si>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</si>
  <si>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</si>
  <si>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</si>
  <si>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</si>
  <si>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</si>
  <si>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</si>
  <si>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</si>
  <si>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</si>
  <si>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</si>
  <si>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</si>
  <si>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</si>
  <si>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</si>
  <si>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</si>
  <si>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</si>
  <si>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</si>
  <si>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</si>
  <si>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</si>
  <si>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</si>
  <si>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</si>
  <si>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</si>
  <si>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</si>
  <si>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</si>
  <si>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</si>
  <si>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</si>
  <si>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</si>
  <si>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</si>
  <si>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</si>
  <si>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</si>
  <si>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</si>
  <si>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</si>
  <si>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</si>
  <si>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</si>
  <si>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</si>
  <si>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</si>
  <si>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</si>
  <si>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</si>
  <si>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</si>
  <si>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</si>
  <si>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</si>
  <si>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</si>
  <si>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</si>
  <si>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</si>
  <si>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</si>
  <si>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</si>
  <si>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</si>
  <si>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</si>
  <si>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</si>
  <si>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</si>
  <si>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</si>
  <si>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</si>
  <si>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</si>
  <si>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</si>
  <si>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</si>
  <si>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</si>
  <si>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</si>
  <si>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</si>
  <si>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</si>
  <si>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</si>
  <si>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</si>
  <si>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</si>
  <si>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</si>
  <si>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</si>
  <si>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</si>
  <si>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</si>
  <si>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</si>
  <si>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</si>
  <si>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</si>
  <si>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</si>
  <si>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</si>
  <si>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</si>
  <si>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</si>
  <si>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</si>
  <si>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</si>
  <si>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</si>
  <si>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</si>
  <si>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</si>
  <si>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</si>
  <si>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</si>
  <si>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</si>
  <si>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</si>
  <si>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</si>
  <si>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</si>
  <si>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</si>
  <si>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</si>
  <si>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</si>
  <si>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</si>
  <si>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</si>
  <si>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</si>
  <si>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</si>
  <si>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</si>
  <si>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</si>
  <si>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</si>
  <si>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</si>
  <si>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</si>
  <si>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</si>
  <si>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</si>
  <si>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</si>
  <si>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</si>
  <si>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</si>
  <si>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</si>
  <si>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</si>
  <si>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</si>
  <si>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</si>
  <si>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</si>
  <si>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</si>
  <si>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</si>
  <si>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</si>
  <si>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</si>
  <si>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</si>
  <si>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</si>
  <si>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</si>
  <si>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</si>
  <si>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</si>
  <si>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</si>
  <si>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</si>
  <si>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</si>
  <si>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</si>
  <si>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</si>
  <si>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</si>
  <si>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</si>
  <si>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</si>
  <si>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</si>
  <si>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</si>
  <si>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</si>
  <si>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</si>
  <si>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</si>
  <si>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</si>
  <si>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</si>
  <si>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</si>
  <si>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</si>
  <si>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</si>
  <si>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</si>
  <si>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</si>
  <si>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</si>
  <si>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</si>
  <si>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</si>
  <si>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</si>
  <si>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</si>
  <si>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</si>
  <si>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</si>
  <si>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</si>
  <si>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</si>
  <si>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</si>
  <si>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</si>
  <si>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</si>
  <si>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</si>
  <si>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</si>
  <si>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</si>
  <si>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</si>
  <si>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</si>
  <si>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</si>
  <si>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</si>
  <si>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</si>
  <si>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</si>
  <si>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</si>
  <si>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</si>
  <si>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</si>
  <si>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</si>
  <si>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</si>
  <si>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</si>
  <si>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</si>
  <si>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</si>
  <si>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</si>
  <si>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</si>
  <si>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</si>
  <si>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</si>
  <si>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</si>
  <si>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</si>
  <si>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</si>
  <si>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</si>
  <si>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</si>
  <si>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</si>
  <si>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</si>
  <si>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</si>
  <si>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</si>
  <si>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</si>
  <si>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</si>
  <si>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</si>
  <si>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</si>
  <si>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</si>
  <si>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</si>
  <si>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</si>
  <si>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</si>
  <si>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</si>
  <si>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</si>
  <si>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</si>
  <si>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</si>
  <si>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</si>
  <si>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</si>
  <si>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</si>
  <si>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</si>
  <si>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</si>
  <si>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</si>
  <si>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</si>
  <si>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</si>
  <si>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</si>
  <si>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</si>
  <si>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</si>
  <si>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</si>
  <si>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</si>
  <si>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</si>
  <si>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</si>
  <si>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</si>
  <si>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</si>
  <si>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</si>
  <si>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</si>
  <si>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</si>
  <si>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</si>
  <si>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</si>
  <si>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</si>
  <si>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</si>
  <si>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</si>
  <si>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</si>
  <si>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</si>
  <si>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</si>
  <si>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</si>
  <si>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</si>
  <si>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</si>
  <si>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</si>
  <si>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</si>
  <si>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</si>
  <si>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</si>
  <si>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</si>
  <si>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</si>
  <si>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</si>
  <si>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</si>
  <si>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</si>
  <si>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</si>
  <si>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</si>
  <si>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</si>
  <si>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</si>
  <si>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</si>
  <si>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</si>
  <si>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</si>
  <si>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</si>
  <si>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</si>
  <si>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</si>
  <si>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</si>
  <si>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</si>
  <si>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</si>
  <si>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</si>
  <si>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</si>
  <si>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</si>
  <si>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</si>
  <si>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</si>
  <si>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</si>
  <si>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</si>
  <si>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</si>
  <si>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</si>
  <si>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</si>
  <si>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</si>
  <si>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</si>
  <si>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</si>
  <si>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</si>
  <si>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</si>
  <si>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</si>
  <si>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</si>
  <si>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</si>
  <si>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</si>
  <si>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</si>
  <si>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</si>
  <si>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</si>
  <si>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</si>
  <si>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</si>
  <si>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</si>
  <si>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</si>
  <si>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</si>
  <si>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</si>
  <si>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</si>
  <si>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</si>
  <si>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</si>
  <si>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</si>
  <si>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</si>
  <si>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</si>
  <si>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</si>
  <si>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</si>
  <si>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</si>
  <si>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</si>
  <si>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</si>
  <si>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</si>
  <si>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</si>
  <si>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</si>
  <si>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</si>
  <si>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</si>
  <si>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</si>
  <si>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</si>
  <si>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</si>
  <si>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</si>
  <si>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</si>
  <si>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</si>
  <si>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</si>
  <si>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</si>
  <si>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</si>
  <si>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</si>
  <si>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</si>
  <si>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</si>
  <si>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</si>
  <si>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</si>
  <si>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</si>
  <si>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</si>
  <si>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</si>
  <si>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</si>
  <si>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</si>
  <si>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</si>
  <si>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</si>
  <si>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</si>
  <si>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</si>
  <si>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</si>
  <si>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</si>
  <si>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</si>
  <si>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</si>
  <si>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</si>
  <si>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</si>
  <si>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</si>
  <si>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</si>
  <si>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</si>
  <si>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</si>
  <si>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</si>
  <si>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</si>
  <si>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</si>
  <si>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</si>
  <si>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</si>
  <si>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</si>
  <si>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</si>
  <si>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</si>
  <si>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</si>
  <si>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</si>
  <si>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</si>
  <si>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</si>
  <si>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</si>
  <si>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</si>
  <si>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</si>
  <si>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</si>
  <si>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</si>
  <si>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</si>
  <si>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</si>
  <si>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</si>
  <si>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</si>
  <si>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</si>
  <si>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</si>
  <si>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</si>
  <si>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</si>
  <si>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</si>
  <si>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</si>
  <si>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</si>
  <si>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</si>
  <si>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</si>
  <si>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</si>
  <si>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</si>
  <si>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</si>
  <si>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</si>
  <si>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</si>
  <si>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</si>
  <si>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</si>
  <si>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</si>
  <si>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</si>
  <si>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</si>
  <si>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</si>
  <si>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</si>
  <si>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</si>
  <si>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</si>
  <si>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</si>
  <si>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</si>
  <si>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</si>
  <si>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</si>
  <si>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</si>
  <si>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</si>
  <si>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</si>
  <si>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</si>
  <si>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</si>
  <si>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</si>
  <si>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</si>
  <si>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</si>
  <si>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</si>
  <si>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</si>
  <si>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</si>
  <si>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</si>
  <si>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</si>
  <si>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</si>
  <si>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</si>
  <si>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</si>
  <si>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</si>
  <si>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</si>
  <si>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</si>
  <si>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</si>
  <si>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</si>
  <si>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</si>
  <si>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</si>
  <si>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</si>
  <si>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</si>
  <si>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</si>
  <si>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</si>
  <si>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</si>
  <si>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</si>
  <si>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</si>
  <si>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</si>
  <si>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</si>
  <si>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</si>
  <si>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</si>
  <si>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</si>
  <si>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</si>
  <si>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</si>
  <si>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</si>
  <si>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</si>
  <si>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</si>
  <si>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</si>
  <si>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</si>
  <si>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</si>
  <si>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</si>
  <si>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</si>
  <si>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</si>
  <si>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</si>
  <si>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</si>
  <si>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</si>
  <si>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</si>
  <si>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</si>
  <si>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</si>
  <si>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</si>
  <si>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</si>
  <si>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</si>
  <si>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</si>
  <si>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</si>
  <si>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</si>
  <si>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</si>
  <si>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</si>
  <si>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</si>
  <si>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</si>
  <si>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</si>
  <si>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</si>
  <si>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</si>
  <si>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</si>
  <si>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</si>
  <si>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</si>
  <si>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</si>
  <si>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</si>
  <si>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</si>
  <si>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</si>
  <si>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</si>
  <si>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</si>
  <si>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</si>
  <si>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</si>
  <si>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</si>
  <si>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</si>
  <si>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</si>
  <si>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</si>
  <si>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</si>
  <si>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</si>
  <si>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</si>
  <si>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</si>
  <si>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</si>
  <si>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</si>
  <si>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</si>
  <si>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</si>
  <si>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</si>
  <si>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</si>
  <si>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</si>
  <si>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</si>
  <si>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</si>
  <si>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</si>
  <si>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</si>
  <si>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</si>
  <si>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</si>
  <si>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</si>
  <si>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</si>
  <si>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</si>
  <si>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</si>
  <si>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</si>
  <si>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</si>
  <si>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</si>
  <si>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</si>
  <si>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</si>
  <si>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</si>
  <si>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</si>
  <si>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</si>
  <si>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</si>
  <si>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</si>
  <si>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</si>
  <si>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</si>
  <si>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</si>
  <si>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</si>
  <si>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</si>
  <si>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</si>
  <si>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</si>
  <si>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</si>
  <si>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</si>
  <si>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</si>
  <si>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</si>
  <si>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</si>
  <si>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</si>
  <si>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</si>
  <si>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</si>
  <si>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</si>
  <si>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</si>
  <si>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</si>
  <si>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</si>
  <si>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</si>
  <si>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</si>
  <si>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</si>
  <si>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</si>
  <si>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</si>
  <si>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</si>
  <si>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</si>
  <si>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</si>
  <si>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</si>
  <si>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</si>
  <si>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</si>
  <si>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</si>
  <si>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</si>
  <si>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</si>
  <si>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</si>
  <si>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</si>
  <si>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</si>
  <si>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</si>
  <si>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</si>
  <si>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</si>
  <si>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</si>
  <si>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</si>
  <si>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</si>
  <si>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</si>
  <si>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</si>
  <si>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</si>
  <si>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</si>
  <si>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</si>
  <si>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</si>
  <si>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</si>
  <si>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</si>
  <si>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</si>
  <si>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</si>
  <si>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</si>
  <si>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</si>
  <si>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</si>
  <si>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</si>
  <si>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</si>
  <si>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</si>
  <si>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</si>
  <si>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</si>
  <si>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</si>
  <si>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</si>
  <si>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</si>
  <si>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</si>
  <si>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</si>
  <si>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</si>
  <si>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</si>
  <si>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</si>
  <si>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</si>
  <si>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</si>
  <si>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</si>
  <si>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</si>
  <si>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</si>
  <si>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</si>
  <si>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</si>
  <si>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</si>
  <si>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</si>
  <si>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</si>
  <si>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</si>
  <si>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</si>
  <si>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</si>
  <si>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</si>
  <si>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</si>
  <si>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</si>
  <si>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</si>
  <si>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</si>
  <si>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</si>
  <si>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</si>
  <si>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</si>
  <si>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</si>
  <si>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</si>
  <si>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</si>
  <si>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</si>
  <si>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</si>
  <si>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</si>
  <si>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</si>
  <si>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</si>
  <si>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</si>
  <si>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</si>
  <si>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</si>
  <si>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</si>
  <si>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</si>
  <si>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</si>
  <si>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</si>
  <si>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</si>
  <si>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</si>
  <si>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</si>
  <si>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</si>
  <si>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</si>
  <si>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</si>
  <si>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</si>
  <si>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</si>
  <si>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</si>
  <si>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</si>
  <si>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</si>
  <si>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</si>
  <si>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</si>
  <si>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</si>
  <si>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</si>
  <si>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</si>
  <si>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</si>
  <si>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</si>
  <si>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</si>
  <si>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</si>
  <si>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</si>
  <si>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</si>
  <si>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</si>
  <si>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</si>
  <si>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</si>
  <si>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</si>
  <si>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</si>
  <si>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</si>
  <si>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</si>
  <si>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</si>
  <si>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</si>
  <si>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</si>
  <si>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</si>
  <si>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</si>
  <si>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</si>
  <si>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</si>
  <si>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</si>
  <si>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</si>
  <si>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</si>
  <si>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</si>
  <si>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</si>
  <si>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</si>
  <si>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</si>
  <si>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</si>
  <si>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</si>
  <si>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</si>
  <si>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</si>
  <si>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</si>
  <si>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</si>
  <si>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</si>
  <si>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</si>
  <si>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</si>
  <si>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</si>
  <si>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</si>
  <si>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</si>
  <si>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</si>
  <si>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</si>
  <si>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</si>
  <si>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</si>
  <si>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</si>
  <si>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</si>
  <si>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</si>
  <si>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</si>
  <si>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</si>
  <si>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</si>
  <si>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</si>
  <si>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</si>
  <si>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</si>
  <si>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</si>
  <si>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</si>
  <si>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</si>
  <si>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</si>
  <si>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</si>
  <si>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</si>
  <si>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</si>
  <si>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</si>
  <si>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</si>
  <si>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</si>
  <si>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</si>
  <si>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</si>
  <si>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</si>
  <si>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</si>
  <si>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</si>
  <si>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</si>
  <si>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</si>
  <si>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</si>
  <si>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</si>
  <si>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</si>
  <si>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</si>
  <si>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</si>
  <si>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</si>
  <si>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</si>
  <si>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</si>
  <si>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</si>
  <si>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</si>
  <si>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</si>
  <si>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</si>
  <si>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</si>
  <si>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</si>
  <si>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</si>
  <si>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</si>
  <si>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</si>
  <si>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</si>
  <si>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</si>
  <si>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</si>
  <si>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</si>
  <si>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</si>
  <si>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</si>
  <si>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</si>
  <si>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</si>
  <si>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</si>
  <si>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</si>
  <si>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</si>
  <si>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</si>
  <si>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</si>
  <si>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</si>
  <si>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</si>
  <si>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</si>
  <si>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</si>
  <si>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</si>
  <si>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</si>
  <si>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</si>
  <si>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</si>
  <si>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</si>
  <si>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</si>
  <si>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</si>
  <si>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</si>
  <si>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</si>
  <si>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</si>
  <si>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</si>
  <si>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</si>
  <si>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</si>
  <si>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</si>
  <si>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</si>
  <si>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</si>
  <si>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</si>
  <si>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</si>
  <si>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</si>
  <si>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</si>
  <si>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</si>
  <si>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</si>
  <si>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</si>
  <si>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</si>
  <si>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</si>
  <si>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</si>
  <si>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</si>
  <si>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</si>
  <si>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</si>
  <si>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</si>
  <si>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</si>
  <si>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</si>
  <si>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</si>
  <si>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</si>
  <si>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</si>
  <si>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</si>
  <si>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</si>
  <si>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</si>
  <si>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</si>
  <si>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</si>
  <si>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</si>
  <si>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</si>
  <si>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</si>
  <si>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</si>
  <si>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</si>
  <si>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</si>
  <si>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</si>
  <si>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</si>
  <si>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</si>
  <si>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</si>
  <si>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</si>
  <si>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</si>
  <si>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</si>
  <si>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</si>
  <si>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</si>
  <si>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</si>
  <si>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</si>
  <si>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</si>
  <si>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</si>
  <si>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</si>
  <si>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</si>
  <si>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</si>
  <si>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</si>
  <si>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</si>
  <si>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</si>
  <si>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</si>
  <si>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</si>
  <si>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</si>
  <si>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</si>
  <si>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</si>
  <si>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</si>
  <si>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</si>
  <si>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</si>
  <si>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</si>
  <si>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</si>
  <si>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</si>
  <si>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</si>
  <si>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</si>
  <si>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</si>
  <si>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</si>
  <si>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</si>
  <si>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</si>
  <si>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</si>
  <si>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</si>
  <si>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</si>
  <si>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</si>
  <si>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</si>
  <si>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</si>
  <si>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</si>
  <si>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</si>
  <si>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</si>
  <si>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</si>
  <si>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</si>
  <si>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</si>
  <si>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</si>
  <si>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</si>
  <si>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</si>
  <si>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</si>
  <si>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</si>
  <si>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</si>
  <si>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</si>
  <si>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</si>
  <si>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</si>
  <si>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</si>
  <si>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</si>
  <si>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</si>
  <si>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</si>
  <si>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</si>
  <si>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</si>
  <si>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</si>
  <si>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</si>
  <si>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</si>
  <si>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</si>
  <si>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</si>
  <si>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</si>
  <si>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</si>
  <si>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</si>
  <si>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</si>
  <si>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</si>
  <si>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</si>
  <si>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</si>
  <si>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</si>
  <si>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</si>
  <si>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</si>
  <si>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</si>
  <si>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</si>
  <si>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</si>
  <si>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</si>
  <si>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</si>
  <si>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</si>
  <si>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</si>
  <si>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</si>
  <si>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</si>
  <si>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</si>
  <si>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</si>
  <si>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</si>
  <si>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</si>
  <si>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</si>
  <si>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</si>
  <si>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</si>
  <si>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</si>
  <si>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</si>
  <si>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</si>
  <si>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</si>
  <si>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</si>
  <si>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</si>
  <si>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</si>
  <si>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</si>
  <si>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</si>
  <si>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</si>
  <si>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</si>
  <si>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</si>
  <si>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</si>
  <si>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</si>
  <si>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</si>
  <si>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</si>
  <si>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</si>
  <si>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</si>
  <si>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</si>
  <si>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</si>
  <si>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</si>
  <si>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</si>
  <si>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</si>
  <si>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</si>
  <si>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</si>
  <si>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</si>
  <si>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</si>
  <si>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</si>
  <si>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</si>
  <si>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</si>
  <si>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</si>
  <si>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</si>
  <si>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</si>
  <si>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</si>
  <si>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</si>
  <si>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</si>
  <si>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</si>
  <si>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</si>
  <si>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</si>
  <si>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</si>
  <si>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</si>
  <si>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</si>
  <si>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</si>
  <si>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</si>
  <si>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</si>
  <si>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</si>
  <si>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</si>
  <si>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</si>
  <si>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</si>
  <si>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</si>
  <si>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</si>
  <si>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</si>
  <si>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</si>
  <si>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</si>
  <si>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</si>
  <si>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</si>
  <si>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</si>
  <si>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</si>
  <si>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</si>
  <si>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</si>
  <si>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</si>
  <si>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</si>
  <si>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</si>
  <si>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</si>
  <si>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</si>
  <si>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</si>
  <si>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</si>
  <si>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</si>
  <si>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</si>
  <si>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</si>
  <si>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</si>
  <si>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</si>
  <si>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</si>
  <si>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</si>
  <si>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</si>
  <si>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</si>
  <si>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</si>
  <si>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</si>
  <si>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</si>
  <si>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</si>
  <si>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</si>
  <si>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</si>
  <si>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</si>
  <si>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</si>
  <si>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</si>
  <si>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</si>
  <si>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</si>
  <si>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</si>
  <si>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</si>
  <si>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</si>
  <si>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</si>
  <si>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</si>
  <si>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</si>
  <si>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</si>
  <si>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</si>
  <si>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</si>
  <si>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</si>
  <si>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</si>
  <si>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</si>
  <si>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</si>
  <si>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</si>
  <si>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</si>
  <si>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</si>
  <si>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</si>
  <si>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</si>
  <si>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</si>
  <si>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</si>
  <si>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</si>
  <si>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</si>
  <si>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</si>
  <si>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</si>
  <si>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</si>
  <si>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</si>
  <si>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</si>
  <si>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</si>
  <si>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</si>
  <si>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</si>
  <si>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</si>
  <si>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</si>
  <si>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</si>
  <si>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</si>
  <si>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</si>
  <si>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</si>
  <si>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</si>
  <si>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</si>
  <si>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</si>
  <si>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</si>
  <si>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</si>
  <si>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</si>
  <si>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</si>
  <si>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</si>
  <si>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</si>
  <si>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</si>
  <si>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</si>
  <si>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</si>
  <si>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</si>
  <si>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</si>
  <si>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</si>
  <si>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</si>
  <si>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</si>
  <si>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</si>
  <si>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</si>
  <si>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</si>
  <si>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</si>
  <si>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</si>
  <si>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</si>
  <si>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</si>
  <si>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</si>
  <si>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</si>
  <si>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</si>
  <si>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</si>
  <si>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</si>
  <si>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</si>
  <si>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</si>
  <si>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</si>
  <si>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</si>
  <si>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</si>
  <si>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</si>
  <si>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</si>
  <si>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</si>
  <si>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</si>
  <si>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</si>
  <si>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</si>
  <si>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</si>
  <si>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</si>
  <si>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</si>
  <si>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</si>
  <si>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</si>
  <si>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</si>
  <si>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</si>
  <si>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</si>
  <si>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</si>
  <si>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</si>
  <si>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</si>
  <si>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</si>
  <si>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</si>
  <si>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</si>
  <si>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</si>
  <si>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</si>
  <si>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</si>
  <si>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</si>
  <si>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</si>
  <si>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</si>
  <si>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</si>
  <si>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</si>
  <si>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</si>
  <si>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</si>
  <si>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</si>
  <si>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</si>
  <si>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</si>
  <si>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</si>
  <si>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</si>
  <si>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</si>
  <si>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</si>
  <si>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</si>
  <si>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</si>
  <si>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</si>
  <si>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</si>
  <si>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</si>
  <si>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</si>
  <si>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</si>
  <si>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</si>
  <si>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</si>
  <si>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</si>
  <si>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</si>
  <si>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</si>
  <si>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</si>
  <si>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</si>
  <si>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</si>
  <si>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</si>
  <si>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</si>
  <si>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</si>
  <si>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</si>
  <si>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</si>
  <si>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</si>
  <si>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</si>
  <si>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</si>
  <si>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</si>
  <si>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</si>
  <si>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</si>
  <si>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</si>
  <si>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</si>
  <si>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</si>
  <si>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</si>
  <si>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</si>
  <si>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</si>
  <si>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</si>
  <si>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</si>
  <si>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</si>
  <si>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</si>
  <si>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</si>
  <si>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</si>
  <si>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</si>
  <si>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</si>
  <si>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</si>
  <si>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</si>
  <si>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</si>
  <si>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</si>
  <si>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</si>
  <si>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</si>
  <si>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</si>
  <si>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</si>
  <si>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</si>
  <si>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</si>
  <si>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</si>
  <si>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</si>
  <si>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</si>
  <si>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</si>
  <si>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</si>
  <si>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</si>
  <si>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</si>
  <si>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</si>
  <si>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</si>
  <si>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</si>
  <si>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</si>
  <si>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</si>
  <si>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</si>
  <si>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</si>
  <si>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</si>
  <si>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</si>
  <si>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</si>
  <si>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</si>
  <si>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</si>
  <si>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</si>
  <si>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</si>
  <si>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</si>
  <si>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</si>
  <si>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</si>
  <si>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</si>
  <si>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</si>
  <si>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</si>
  <si>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</si>
  <si>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</si>
  <si>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</si>
  <si>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</si>
  <si>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</si>
  <si>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</si>
  <si>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</si>
  <si>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</si>
  <si>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</si>
  <si>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</si>
  <si>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</si>
  <si>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</si>
  <si>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</si>
  <si>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</si>
  <si>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</si>
  <si>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</si>
  <si>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</si>
  <si>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</si>
  <si>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</si>
  <si>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</si>
  <si>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</si>
  <si>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</si>
  <si>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</si>
  <si>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</si>
  <si>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</si>
  <si>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</si>
  <si>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</si>
  <si>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</si>
  <si>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</si>
  <si>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</si>
  <si>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</si>
  <si>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</si>
  <si>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</si>
  <si>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</si>
  <si>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</si>
  <si>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</si>
  <si>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</si>
  <si>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</si>
  <si>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</si>
  <si>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</si>
  <si>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</si>
  <si>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</si>
  <si>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</si>
  <si>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</si>
  <si>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</si>
  <si>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</si>
  <si>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</si>
  <si>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</si>
  <si>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</si>
  <si>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</si>
  <si>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</si>
  <si>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</si>
  <si>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</si>
  <si>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</si>
  <si>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</si>
  <si>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</si>
  <si>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</si>
  <si>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</si>
  <si>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</si>
  <si>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</si>
  <si>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</si>
  <si>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</si>
  <si>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</si>
  <si>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</si>
  <si>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</si>
  <si>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</si>
  <si>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</si>
  <si>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</si>
  <si>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</si>
  <si>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</si>
  <si>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</si>
  <si>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</si>
  <si>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</si>
  <si>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</si>
  <si>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</si>
  <si>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</si>
  <si>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</si>
  <si>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</si>
  <si>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</si>
  <si>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</si>
  <si>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</si>
  <si>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</si>
  <si>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</si>
  <si>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</si>
  <si>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</si>
  <si>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</si>
  <si>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</si>
  <si>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</si>
  <si>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</si>
  <si>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</si>
  <si>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</si>
  <si>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</si>
  <si>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</si>
  <si>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</si>
  <si>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</si>
  <si>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</si>
  <si>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</si>
  <si>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</si>
  <si>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</si>
  <si>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</si>
  <si>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</si>
  <si>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</si>
  <si>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</si>
  <si>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</si>
  <si>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</si>
  <si>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</si>
  <si>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</si>
  <si>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</si>
  <si>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</si>
  <si>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</si>
  <si>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</si>
  <si>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</si>
  <si>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</si>
  <si>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</si>
  <si>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</si>
  <si>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</si>
  <si>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</si>
  <si>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</si>
  <si>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</si>
  <si>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</si>
  <si>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</si>
  <si>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</si>
  <si>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</si>
  <si>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</si>
  <si>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</si>
  <si>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</si>
  <si>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</si>
  <si>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</si>
  <si>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</si>
  <si>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</si>
  <si>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</si>
  <si>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</si>
  <si>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</si>
  <si>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</si>
  <si>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</si>
  <si>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</si>
  <si>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</si>
  <si>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</si>
  <si>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</si>
  <si>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</si>
  <si>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</si>
  <si>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</si>
  <si>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</si>
  <si>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</si>
  <si>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</si>
  <si>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</si>
  <si>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</si>
  <si>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</si>
  <si>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</si>
  <si>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</si>
  <si>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</si>
  <si>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</si>
  <si>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</si>
  <si>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</si>
  <si>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</si>
  <si>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</si>
  <si>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</si>
  <si>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</si>
  <si>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</si>
  <si>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</si>
  <si>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</si>
  <si>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</si>
  <si>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</si>
  <si>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</si>
  <si>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</si>
  <si>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</si>
  <si>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</si>
  <si>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</si>
  <si>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</si>
  <si>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</si>
  <si>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</si>
  <si>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</si>
  <si>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</si>
  <si>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</si>
  <si>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</si>
  <si>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</si>
  <si>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</si>
  <si>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</si>
  <si>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</si>
  <si>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</si>
  <si>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</si>
  <si>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</si>
  <si>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</si>
  <si>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</si>
  <si>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</si>
  <si>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</si>
  <si>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</si>
  <si>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</si>
  <si>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</si>
  <si>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</si>
  <si>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</si>
  <si>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</si>
  <si>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</si>
  <si>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</si>
  <si>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</si>
  <si>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</si>
  <si>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</si>
  <si>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</si>
  <si>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</si>
  <si>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</si>
  <si>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</si>
  <si>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</si>
  <si>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</si>
  <si>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</si>
  <si>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</si>
  <si>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</si>
  <si>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</si>
  <si>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</si>
  <si>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</si>
  <si>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</si>
  <si>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</si>
  <si>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</si>
  <si>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</si>
  <si>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</si>
  <si>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</si>
  <si>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</si>
  <si>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</si>
  <si>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</si>
  <si>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</si>
  <si>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</si>
  <si>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</si>
  <si>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</si>
  <si>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</si>
  <si>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</si>
  <si>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</si>
  <si>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</si>
  <si>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</si>
  <si>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</si>
  <si>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</si>
  <si>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</si>
  <si>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</si>
  <si>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</si>
  <si>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</si>
  <si>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</si>
  <si>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</si>
  <si>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</si>
  <si>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</si>
  <si>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</si>
  <si>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</si>
  <si>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</si>
  <si>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</si>
  <si>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</si>
  <si>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</si>
  <si>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</si>
  <si>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</si>
  <si>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</si>
  <si>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</si>
  <si>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</si>
  <si>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</si>
  <si>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</si>
  <si>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</si>
  <si>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</si>
  <si>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</si>
  <si>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</si>
  <si>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</si>
  <si>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</si>
  <si>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</si>
  <si>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</si>
  <si>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</si>
  <si>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</si>
  <si>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</si>
  <si>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</si>
  <si>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</si>
  <si>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</si>
  <si>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</si>
  <si>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</si>
  <si>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</si>
  <si>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</si>
  <si>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</si>
  <si>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</si>
  <si>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</si>
  <si>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</si>
  <si>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</si>
  <si>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</si>
  <si>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</si>
  <si>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</si>
  <si>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</si>
  <si>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</si>
  <si>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</si>
  <si>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</si>
  <si>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</si>
  <si>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</si>
  <si>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</si>
  <si>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</si>
  <si>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</si>
  <si>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</si>
  <si>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</si>
  <si>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</si>
  <si>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</si>
  <si>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</si>
  <si>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</si>
  <si>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</si>
  <si>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</si>
  <si>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</si>
  <si>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</si>
  <si>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</si>
  <si>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</si>
  <si>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</si>
  <si>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</si>
  <si>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</si>
  <si>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</si>
  <si>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</si>
  <si>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</si>
  <si>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</si>
  <si>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</si>
  <si>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</si>
  <si>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</si>
  <si>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</si>
  <si>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</si>
  <si>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</si>
  <si>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</si>
  <si>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</si>
  <si>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</si>
  <si>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</si>
  <si>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</si>
  <si>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</si>
  <si>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</si>
  <si>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</si>
  <si>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</si>
  <si>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</si>
  <si>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</si>
  <si>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</si>
  <si>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</si>
  <si>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</si>
  <si>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</si>
  <si>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</si>
  <si>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</si>
  <si>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</si>
  <si>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</si>
  <si>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</si>
  <si>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</si>
  <si>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</si>
  <si>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</si>
  <si>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</si>
  <si>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</si>
  <si>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</si>
  <si>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</si>
  <si>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</si>
  <si>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</si>
  <si>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</si>
  <si>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</si>
  <si>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</si>
  <si>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</si>
  <si>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</si>
  <si>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</si>
  <si>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</si>
  <si>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</si>
  <si>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</si>
  <si>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</si>
  <si>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</si>
  <si>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</si>
  <si>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</si>
  <si>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</si>
  <si>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</si>
  <si>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</si>
  <si>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</si>
  <si>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</si>
  <si>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</si>
  <si>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</si>
  <si>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</si>
  <si>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</si>
  <si>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</si>
  <si>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</si>
  <si>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</si>
  <si>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</si>
  <si>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</si>
  <si>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</si>
  <si>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</si>
  <si>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</si>
  <si>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</si>
  <si>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</si>
  <si>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</si>
  <si>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</si>
  <si>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</si>
  <si>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</si>
  <si>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</si>
  <si>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</si>
  <si>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</si>
  <si>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</si>
  <si>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</si>
  <si>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</si>
  <si>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</si>
  <si>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</si>
  <si>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</si>
  <si>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</si>
  <si>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</si>
  <si>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</si>
  <si>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</si>
  <si>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</si>
  <si>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</si>
  <si>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</si>
  <si>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</si>
  <si>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</si>
  <si>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</si>
  <si>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</si>
  <si>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</si>
  <si>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</si>
  <si>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</si>
  <si>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</si>
  <si>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</si>
  <si>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</si>
  <si>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</si>
  <si>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</si>
  <si>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</si>
  <si>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</si>
  <si>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</si>
  <si>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</si>
  <si>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</si>
  <si>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</si>
  <si>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</si>
  <si>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</si>
  <si>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</si>
  <si>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</si>
  <si>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</si>
  <si>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</si>
  <si>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</si>
  <si>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</si>
  <si>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</si>
  <si>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</si>
  <si>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</si>
  <si>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</si>
  <si>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</si>
  <si>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</si>
  <si>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</si>
  <si>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</si>
  <si>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</si>
  <si>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</si>
  <si>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</si>
  <si>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</si>
  <si>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</si>
  <si>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</si>
  <si>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</si>
  <si>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</si>
  <si>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</si>
  <si>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</si>
  <si>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</si>
  <si>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</si>
  <si>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</si>
  <si>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</si>
  <si>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</si>
  <si>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</si>
  <si>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</si>
  <si>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</si>
  <si>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</si>
  <si>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</si>
  <si>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</si>
  <si>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</si>
  <si>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</si>
  <si>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</si>
  <si>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</si>
  <si>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</si>
  <si>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</si>
  <si>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</si>
  <si>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</si>
  <si>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</si>
  <si>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</si>
  <si>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</si>
  <si>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</si>
  <si>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</si>
  <si>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</si>
  <si>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</si>
  <si>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</si>
  <si>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</si>
  <si>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</si>
  <si>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</si>
  <si>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</si>
  <si>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</si>
  <si>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</si>
  <si>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</si>
  <si>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</si>
  <si>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</si>
  <si>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</si>
  <si>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</si>
  <si>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</si>
  <si>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</si>
  <si>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</si>
  <si>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</si>
  <si>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</si>
  <si>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</si>
  <si>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</si>
  <si>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</si>
  <si>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</si>
  <si>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</si>
  <si>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</si>
  <si>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</si>
  <si>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</si>
  <si>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</si>
  <si>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</si>
  <si>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</si>
  <si>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</si>
  <si>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</si>
  <si>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</si>
  <si>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</si>
  <si>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</si>
  <si>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</si>
  <si>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</si>
  <si>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</si>
  <si>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</si>
  <si>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</si>
  <si>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</si>
  <si>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</si>
  <si>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</si>
  <si>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</si>
  <si>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</si>
  <si>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</si>
  <si>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</si>
  <si>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</si>
  <si>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</si>
  <si>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</si>
  <si>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</si>
  <si>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</si>
  <si>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</si>
  <si>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</si>
  <si>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</si>
  <si>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</si>
  <si>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</si>
  <si>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</si>
  <si>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</si>
  <si>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</si>
  <si>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</si>
  <si>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</si>
  <si>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</si>
  <si>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</si>
  <si>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</si>
  <si>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</si>
  <si>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</si>
  <si>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</si>
  <si>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</si>
  <si>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</si>
  <si>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</si>
  <si>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</si>
  <si>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</si>
  <si>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</si>
  <si>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</si>
  <si>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</si>
  <si>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</si>
  <si>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</si>
  <si>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</si>
  <si>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</si>
  <si>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</si>
  <si>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</si>
  <si>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</si>
  <si>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</si>
  <si>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</si>
  <si>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</si>
  <si>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</si>
  <si>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</si>
  <si>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</si>
  <si>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</si>
  <si>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</si>
  <si>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</si>
  <si>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</si>
  <si>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</si>
  <si>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</si>
  <si>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</si>
  <si>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</si>
  <si>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</si>
  <si>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</si>
  <si>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</si>
  <si>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</si>
  <si>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</si>
  <si>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</si>
  <si>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</si>
  <si>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</si>
  <si>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</si>
  <si>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</si>
  <si>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</si>
  <si>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</si>
  <si>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</si>
  <si>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</si>
  <si>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</si>
  <si>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</si>
  <si>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</si>
  <si>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</si>
  <si>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</si>
  <si>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</si>
  <si>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</si>
  <si>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</si>
  <si>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</si>
  <si>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</si>
  <si>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</si>
  <si>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</si>
  <si>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</si>
  <si>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</si>
  <si>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</si>
  <si>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</si>
  <si>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</si>
  <si>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</si>
  <si>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</si>
  <si>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</si>
  <si>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</si>
  <si>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</si>
  <si>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</si>
  <si>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</si>
  <si>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</si>
  <si>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</si>
  <si>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</si>
  <si>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</si>
  <si>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</si>
  <si>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</si>
  <si>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</si>
  <si>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</si>
  <si>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</si>
  <si>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</si>
  <si>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</si>
  <si>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</si>
  <si>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</si>
  <si>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</si>
  <si>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</si>
  <si>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</si>
  <si>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</si>
  <si>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</si>
  <si>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</si>
  <si>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</si>
  <si>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</si>
  <si>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</si>
  <si>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</si>
  <si>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</si>
  <si>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</si>
  <si>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</si>
  <si>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</si>
  <si>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</si>
  <si>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</si>
  <si>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</si>
  <si>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</si>
  <si>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</si>
  <si>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</si>
  <si>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</si>
  <si>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</si>
  <si>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</si>
  <si>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</si>
  <si>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</si>
  <si>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</si>
  <si>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</si>
  <si>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</si>
  <si>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</si>
  <si>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</si>
  <si>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</si>
  <si>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</si>
  <si>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</si>
  <si>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</si>
  <si>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</si>
  <si>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</si>
  <si>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</si>
  <si>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</si>
  <si>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</si>
  <si>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</si>
  <si>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</si>
  <si>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</si>
  <si>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</si>
  <si>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</si>
  <si>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</si>
  <si>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</si>
  <si>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</si>
  <si>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</si>
  <si>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</si>
  <si>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</si>
  <si>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</si>
  <si>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</si>
  <si>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</si>
  <si>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</si>
  <si>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</si>
  <si>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</si>
  <si>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</si>
  <si>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</si>
  <si>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</si>
  <si>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</si>
  <si>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</si>
  <si>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</si>
  <si>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</si>
  <si>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</si>
  <si>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</si>
  <si>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</si>
  <si>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</si>
  <si>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</si>
  <si>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</si>
  <si>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</si>
  <si>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</si>
  <si>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</si>
  <si>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</si>
  <si>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</si>
  <si>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</si>
  <si>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</si>
  <si>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</si>
  <si>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</si>
  <si>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</si>
  <si>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</si>
  <si>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</si>
  <si>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</si>
  <si>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</si>
  <si>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</si>
  <si>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</si>
  <si>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</si>
  <si>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</si>
  <si>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</si>
  <si>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</si>
  <si>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</si>
  <si>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</si>
  <si>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</si>
  <si>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</si>
  <si>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</si>
  <si>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</si>
  <si>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</si>
  <si>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</si>
  <si>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</si>
  <si>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</si>
  <si>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</si>
  <si>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</si>
  <si>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</si>
  <si>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</si>
  <si>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</si>
  <si>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</si>
  <si>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</si>
  <si>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</si>
  <si>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</si>
  <si>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</si>
  <si>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</si>
  <si>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</si>
  <si>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</si>
  <si>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</si>
  <si>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</si>
  <si>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</si>
  <si>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</si>
  <si>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</si>
  <si>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</si>
  <si>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</si>
  <si>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</si>
  <si>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</si>
  <si>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</si>
  <si>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</si>
  <si>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</si>
  <si>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</si>
  <si>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</si>
  <si>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</si>
  <si>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</si>
  <si>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</si>
  <si>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</si>
  <si>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</si>
  <si>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</si>
  <si>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</si>
  <si>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</si>
  <si>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</si>
  <si>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</si>
  <si>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</si>
  <si>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</si>
  <si>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</si>
  <si>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</si>
  <si>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</si>
  <si>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</si>
  <si>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</si>
  <si>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</si>
  <si>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</si>
  <si>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</si>
  <si>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</si>
  <si>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</si>
  <si>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</si>
  <si>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</si>
  <si>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</si>
  <si>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</si>
  <si>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</si>
  <si>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</si>
  <si>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</si>
  <si>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</si>
  <si>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</si>
  <si>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</si>
  <si>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</si>
  <si>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</si>
  <si>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</si>
  <si>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</si>
  <si>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</si>
  <si>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</si>
  <si>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</si>
  <si>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</si>
  <si>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</si>
  <si>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</si>
  <si>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</si>
  <si>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</si>
  <si>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</si>
  <si>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</si>
  <si>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</si>
  <si>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</si>
  <si>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</si>
  <si>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</si>
  <si>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</si>
  <si>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</si>
  <si>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</si>
  <si>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</si>
  <si>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</si>
  <si>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</si>
  <si>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</si>
  <si>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</si>
  <si>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</si>
  <si>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</si>
  <si>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</si>
  <si>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</si>
  <si>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</si>
  <si>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</si>
  <si>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</si>
  <si>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</si>
  <si>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</si>
  <si>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</si>
  <si>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</si>
  <si>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</si>
  <si>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</si>
  <si>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</si>
  <si>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</si>
  <si>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</si>
  <si>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</si>
  <si>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</si>
  <si>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</si>
  <si>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</si>
  <si>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</si>
  <si>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</si>
  <si>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</si>
  <si>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</si>
  <si>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</si>
  <si>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</si>
  <si>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</si>
  <si>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</si>
  <si>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</si>
  <si>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</si>
  <si>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</si>
  <si>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</si>
  <si>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</si>
  <si>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</si>
  <si>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</si>
  <si>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</si>
  <si>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</si>
  <si>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</si>
  <si>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</si>
  <si>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</si>
  <si>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</si>
  <si>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</si>
  <si>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</si>
  <si>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</si>
  <si>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</si>
  <si>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</si>
  <si>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</si>
  <si>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</si>
  <si>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</si>
  <si>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</si>
  <si>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</si>
  <si>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</si>
  <si>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</si>
  <si>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</si>
  <si>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</si>
  <si>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</si>
  <si>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</si>
  <si>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</si>
  <si>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</si>
  <si>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</si>
  <si>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</si>
  <si>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</si>
  <si>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</si>
  <si>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</si>
  <si>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</si>
  <si>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</si>
  <si>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</si>
  <si>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</si>
  <si>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</si>
  <si>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</si>
  <si>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</si>
  <si>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</si>
  <si>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</si>
  <si>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</si>
  <si>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</si>
  <si>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</si>
  <si>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</si>
  <si>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</si>
  <si>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</si>
  <si>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</si>
  <si>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</si>
  <si>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</si>
  <si>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</si>
  <si>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</si>
  <si>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</si>
  <si>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</si>
  <si>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</si>
  <si>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</si>
  <si>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</si>
  <si>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</si>
  <si>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</si>
  <si>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</si>
  <si>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</si>
  <si>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</si>
  <si>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</si>
  <si>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</si>
  <si>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</si>
  <si>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</si>
  <si>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</si>
  <si>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</si>
  <si>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</si>
  <si>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</si>
  <si>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</si>
  <si>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</si>
  <si>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</si>
  <si>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</si>
  <si>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</si>
  <si>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</si>
  <si>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</si>
  <si>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</si>
  <si>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</si>
  <si>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</si>
  <si>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</si>
  <si>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</si>
  <si>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</si>
  <si>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</si>
  <si>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</si>
  <si>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</si>
  <si>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</si>
  <si>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</si>
  <si>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</si>
  <si>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</si>
  <si>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</si>
  <si>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</si>
  <si>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</si>
  <si>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</si>
  <si>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</si>
  <si>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</si>
  <si>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</si>
  <si>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</si>
  <si>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</si>
  <si>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</si>
  <si>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</si>
  <si>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</si>
  <si>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</si>
  <si>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</si>
  <si>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</si>
  <si>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</si>
  <si>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</si>
  <si>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</si>
  <si>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</si>
  <si>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</si>
  <si>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</si>
  <si>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</si>
  <si>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</si>
  <si>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</si>
  <si>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</si>
  <si>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</si>
  <si>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</si>
  <si>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</si>
  <si>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</si>
  <si>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</si>
  <si>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</si>
  <si>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</si>
  <si>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</si>
  <si>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</si>
  <si>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</si>
  <si>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</si>
  <si>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</si>
  <si>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</si>
  <si>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</si>
  <si>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</si>
  <si>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</si>
  <si>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</si>
  <si>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</si>
  <si>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</si>
  <si>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</si>
  <si>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</si>
  <si>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</si>
  <si>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</si>
  <si>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</si>
  <si>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</si>
  <si>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</si>
  <si>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</si>
  <si>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</si>
  <si>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</si>
  <si>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</si>
  <si>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</si>
  <si>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</si>
  <si>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</si>
  <si>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</si>
  <si>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</si>
  <si>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</si>
  <si>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</si>
  <si>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</si>
  <si>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</si>
  <si>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</si>
  <si>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</si>
  <si>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</si>
  <si>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</si>
  <si>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</si>
  <si>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</si>
  <si>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</si>
  <si>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</si>
  <si>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</si>
  <si>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</si>
  <si>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</si>
  <si>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</si>
  <si>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</si>
  <si>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</si>
  <si>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</si>
  <si>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</si>
  <si>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</si>
  <si>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</si>
  <si>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</si>
  <si>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</si>
  <si>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</si>
  <si>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</si>
  <si>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</si>
  <si>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</si>
  <si>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</si>
  <si>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</si>
  <si>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</si>
  <si>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</si>
  <si>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</si>
  <si>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</si>
  <si>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</si>
  <si>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</si>
  <si>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</si>
  <si>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</si>
  <si>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</si>
  <si>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</si>
  <si>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</si>
  <si>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</si>
  <si>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</si>
  <si>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</si>
  <si>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</si>
  <si>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</si>
  <si>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</si>
  <si>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</si>
  <si>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</si>
  <si>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</si>
  <si>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</si>
  <si>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</si>
  <si>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</si>
  <si>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</si>
  <si>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</si>
  <si>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</si>
  <si>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</si>
  <si>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</si>
  <si>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</si>
  <si>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</si>
  <si>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</si>
  <si>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</si>
  <si>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</si>
  <si>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</si>
  <si>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</si>
  <si>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</si>
  <si>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</si>
  <si>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</si>
  <si>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</si>
  <si>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</si>
  <si>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</si>
  <si>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</si>
  <si>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</si>
  <si>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</si>
  <si>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</si>
  <si>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</si>
  <si>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</si>
  <si>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</si>
  <si>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</si>
  <si>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</si>
  <si>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</si>
  <si>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</si>
  <si>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</si>
  <si>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</si>
  <si>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</si>
  <si>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</si>
  <si>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</si>
  <si>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</si>
  <si>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</si>
  <si>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</si>
  <si>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</si>
  <si>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</si>
  <si>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</si>
  <si>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</si>
  <si>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</si>
  <si>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</si>
  <si>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</si>
  <si>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</si>
  <si>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</si>
  <si>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</si>
  <si>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</si>
  <si>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</si>
  <si>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</si>
  <si>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</si>
  <si>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</si>
  <si>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</si>
  <si>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</si>
  <si>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</si>
  <si>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</si>
  <si>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</si>
  <si>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</si>
  <si>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</si>
  <si>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</si>
  <si>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</si>
  <si>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</si>
  <si>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</si>
  <si>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</si>
  <si>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</si>
  <si>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</si>
  <si>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</si>
  <si>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</si>
  <si>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</si>
  <si>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</si>
  <si>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</si>
  <si>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</si>
  <si>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</si>
  <si>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</si>
  <si>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</si>
  <si>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</si>
  <si>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</si>
  <si>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</si>
  <si>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</si>
  <si>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</si>
  <si>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</si>
  <si>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</si>
  <si>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</si>
  <si>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</si>
  <si>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</si>
  <si>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</si>
  <si>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</si>
  <si>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</si>
  <si>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</si>
  <si>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</si>
  <si>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</si>
  <si>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</si>
  <si>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</si>
  <si>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</si>
  <si>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</si>
  <si>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</si>
  <si>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</si>
  <si>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</si>
  <si>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</si>
  <si>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</si>
  <si>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</si>
  <si>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</si>
  <si>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</si>
  <si>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</si>
  <si>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</si>
  <si>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</si>
  <si>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</si>
  <si>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</si>
  <si>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</si>
  <si>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</si>
  <si>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</si>
  <si>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</si>
  <si>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</si>
  <si>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</si>
  <si>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</si>
  <si>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</si>
  <si>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</si>
  <si>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</si>
  <si>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</si>
  <si>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</si>
  <si>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</si>
  <si>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</si>
  <si>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</si>
  <si>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</si>
  <si>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</si>
  <si>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</si>
  <si>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</si>
  <si>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</si>
  <si>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</si>
  <si>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</si>
  <si>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</si>
  <si>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</si>
  <si>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</si>
  <si>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</si>
  <si>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</si>
  <si>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</si>
  <si>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</si>
  <si>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</si>
  <si>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</si>
  <si>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</si>
  <si>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</si>
  <si>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</si>
  <si>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</si>
  <si>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</si>
  <si>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</si>
  <si>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</si>
  <si>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</si>
  <si>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</si>
  <si>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</si>
  <si>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</si>
  <si>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</si>
  <si>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</si>
  <si>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</si>
  <si>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</si>
  <si>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</si>
  <si>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</si>
  <si>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</si>
  <si>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</si>
  <si>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</si>
  <si>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</si>
  <si>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</si>
  <si>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</si>
  <si>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</si>
  <si>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</si>
  <si>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</si>
  <si>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</si>
  <si>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</si>
  <si>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</si>
  <si>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</si>
  <si>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</si>
  <si>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</si>
  <si>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</si>
  <si>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</si>
  <si>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</si>
  <si>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</si>
  <si>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</si>
  <si>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</si>
  <si>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</si>
  <si>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</si>
  <si>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</si>
  <si>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</si>
  <si>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</si>
  <si>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</si>
  <si>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</si>
  <si>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</si>
  <si>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</si>
  <si>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</si>
  <si>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</si>
  <si>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</si>
  <si>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</si>
  <si>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</si>
  <si>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</si>
  <si>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</si>
  <si>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</si>
  <si>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</si>
  <si>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</si>
  <si>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</si>
  <si>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</si>
  <si>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</si>
  <si>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</si>
  <si>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</si>
  <si>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</si>
  <si>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</si>
  <si>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</si>
  <si>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</si>
  <si>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</si>
  <si>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</si>
  <si>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</si>
  <si>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</si>
  <si>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</si>
  <si>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</si>
  <si>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</si>
  <si>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</si>
  <si>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</si>
  <si>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</si>
  <si>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</si>
  <si>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</si>
  <si>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</si>
  <si>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</si>
  <si>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</si>
  <si>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</si>
  <si>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</si>
  <si>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</si>
  <si>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</si>
  <si>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</si>
  <si>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</si>
  <si>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</si>
  <si>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</si>
  <si>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</si>
  <si>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</si>
  <si>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</si>
  <si>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</si>
  <si>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</si>
  <si>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</si>
  <si>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</si>
  <si>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</si>
  <si>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</si>
  <si>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</si>
  <si>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</si>
  <si>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</si>
  <si>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</si>
  <si>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</si>
  <si>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</si>
  <si>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</si>
  <si>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</si>
  <si>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</si>
  <si>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</si>
  <si>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</si>
  <si>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</si>
  <si>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</si>
  <si>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</si>
  <si>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</si>
  <si>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</si>
  <si>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</si>
  <si>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</si>
  <si>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</si>
  <si>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</si>
  <si>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</si>
  <si>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</si>
  <si>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</si>
  <si>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</si>
  <si>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</si>
  <si>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</si>
  <si>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</si>
  <si>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</si>
  <si>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</si>
  <si>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</si>
  <si>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</si>
  <si>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</si>
  <si>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</si>
  <si>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</si>
  <si>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</si>
  <si>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</si>
  <si>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</si>
  <si>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</si>
  <si>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</si>
  <si>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</si>
  <si>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</si>
  <si>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</si>
  <si>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</si>
  <si>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</si>
  <si>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</si>
  <si>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</si>
  <si>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</si>
  <si>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</si>
  <si>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</si>
  <si>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</si>
  <si>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</si>
  <si>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</si>
  <si>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</si>
  <si>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</si>
  <si>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</si>
  <si>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</si>
  <si>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</si>
  <si>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</si>
  <si>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</si>
  <si>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</si>
  <si>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</si>
  <si>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</si>
  <si>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</si>
  <si>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</si>
  <si>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</si>
  <si>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</si>
  <si>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</si>
  <si>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</si>
  <si>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</si>
  <si>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</si>
  <si>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</si>
  <si>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</si>
  <si>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</si>
  <si>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</si>
  <si>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</si>
  <si>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</si>
  <si>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</si>
  <si>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</si>
  <si>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</si>
  <si>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</si>
  <si>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</si>
  <si>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</si>
  <si>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</si>
  <si>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</si>
  <si>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</si>
  <si>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</si>
  <si>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</si>
  <si>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</si>
  <si>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</si>
  <si>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</si>
  <si>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</si>
  <si>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</si>
  <si>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</si>
  <si>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</si>
  <si>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</si>
  <si>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</si>
  <si>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</si>
  <si>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</si>
  <si>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</si>
  <si>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</si>
  <si>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</si>
  <si>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</si>
  <si>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</si>
  <si>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</si>
  <si>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</si>
  <si>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</si>
  <si>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</si>
  <si>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</si>
  <si>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</si>
  <si>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</si>
  <si>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</si>
  <si>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</si>
  <si>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</si>
  <si>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</si>
  <si>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</si>
  <si>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</si>
  <si>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</si>
  <si>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</si>
  <si>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</si>
  <si>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</si>
  <si>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</si>
  <si>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</si>
  <si>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</si>
  <si>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</si>
  <si>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</si>
  <si>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</si>
  <si>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</si>
  <si>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</si>
  <si>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</si>
  <si>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</si>
  <si>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</si>
  <si>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</si>
  <si>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</si>
  <si>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</si>
  <si>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</si>
  <si>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</si>
  <si>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</si>
  <si>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</si>
  <si>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</si>
  <si>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</si>
  <si>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</si>
  <si>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</si>
  <si>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</si>
  <si>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</si>
  <si>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</si>
  <si>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</si>
  <si>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</si>
  <si>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</si>
  <si>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</si>
  <si>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</si>
  <si>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</si>
  <si>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</si>
  <si>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</si>
  <si>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</si>
  <si>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</si>
  <si>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</si>
  <si>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</si>
  <si>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</si>
  <si>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</si>
  <si>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</si>
  <si>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</si>
  <si>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</si>
  <si>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</si>
  <si>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</si>
  <si>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</si>
  <si>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</si>
  <si>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</si>
  <si>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</si>
  <si>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</si>
  <si>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</si>
  <si>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</si>
  <si>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</si>
  <si>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</si>
  <si>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</si>
  <si>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</si>
  <si>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</si>
  <si>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</si>
  <si>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</si>
  <si>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</si>
  <si>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</si>
  <si>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</si>
  <si>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</si>
  <si>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</si>
  <si>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</si>
  <si>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</si>
  <si>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</si>
  <si>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</si>
  <si>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</si>
  <si>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</si>
  <si>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</si>
  <si>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</si>
  <si>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</si>
  <si>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</si>
  <si>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</si>
  <si>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</si>
  <si>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</si>
  <si>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</si>
  <si>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</si>
  <si>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</si>
  <si>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</si>
  <si>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</si>
  <si>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</si>
  <si>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</si>
  <si>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</si>
  <si>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</si>
  <si>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</si>
  <si>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</si>
  <si>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</si>
  <si>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</si>
  <si>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</si>
  <si>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</si>
  <si>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</si>
  <si>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</si>
  <si>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</si>
  <si>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</si>
  <si>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</si>
  <si>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</si>
  <si>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</si>
  <si>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</si>
  <si>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</si>
  <si>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</si>
  <si>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</si>
  <si>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</si>
  <si>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</si>
  <si>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</si>
  <si>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</si>
  <si>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</si>
  <si>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</si>
  <si>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</si>
  <si>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</si>
  <si>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</si>
  <si>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</si>
  <si>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</si>
  <si>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</si>
  <si>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</si>
  <si>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</si>
  <si>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</si>
  <si>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</si>
  <si>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</si>
  <si>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</si>
  <si>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</si>
  <si>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</si>
  <si>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</si>
  <si>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</si>
  <si>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</si>
  <si>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</si>
  <si>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</si>
  <si>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</si>
  <si>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</si>
  <si>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</si>
  <si>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</si>
  <si>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</si>
  <si>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</si>
  <si>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</si>
  <si>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</si>
  <si>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</si>
  <si>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</si>
  <si>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</si>
  <si>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</si>
  <si>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</si>
  <si>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</si>
  <si>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</si>
  <si>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</si>
  <si>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</si>
  <si>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</si>
  <si>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</si>
  <si>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</si>
  <si>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</si>
  <si>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</si>
  <si>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</si>
  <si>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</si>
  <si>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</si>
  <si>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</si>
  <si>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</si>
  <si>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</si>
  <si>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</si>
  <si>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</si>
  <si>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</si>
  <si>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</si>
  <si>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</si>
  <si>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</si>
  <si>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</si>
  <si>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</si>
  <si>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</si>
  <si>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</si>
  <si>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</si>
  <si>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</si>
  <si>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</si>
  <si>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</si>
  <si>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</si>
  <si>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</si>
  <si>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</si>
  <si>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</si>
  <si>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</si>
  <si>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</si>
  <si>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</si>
  <si>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</si>
  <si>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</si>
  <si>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</si>
  <si>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</si>
  <si>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</si>
  <si>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</si>
  <si>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</si>
  <si>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</si>
  <si>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</si>
  <si>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</si>
  <si>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</si>
  <si>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</si>
  <si>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</si>
  <si>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</si>
  <si>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</si>
  <si>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</si>
  <si>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</si>
  <si>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</si>
  <si>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</si>
  <si>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</si>
  <si>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</si>
  <si>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</si>
  <si>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</si>
  <si>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</si>
  <si>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</si>
  <si>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</si>
  <si>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</si>
  <si>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</si>
  <si>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</si>
  <si>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</si>
  <si>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</si>
  <si>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</si>
  <si>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</si>
  <si>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</si>
  <si>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</si>
  <si>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</si>
  <si>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</si>
  <si>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</si>
  <si>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</si>
  <si>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</si>
  <si>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</si>
  <si>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</si>
  <si>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</si>
  <si>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</si>
  <si>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</si>
  <si>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</si>
  <si>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</si>
  <si>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</si>
  <si>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</si>
  <si>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</si>
  <si>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</si>
  <si>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</si>
  <si>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</si>
  <si>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</si>
  <si>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</si>
  <si>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</si>
  <si>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</si>
  <si>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</si>
  <si>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</si>
  <si>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</si>
  <si>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</si>
  <si>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</si>
  <si>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</si>
  <si>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</si>
  <si>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</si>
  <si>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</si>
  <si>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</si>
  <si>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</si>
  <si>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</si>
  <si>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</si>
  <si>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</si>
  <si>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</si>
  <si>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</si>
  <si>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</si>
  <si>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</si>
  <si>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</si>
  <si>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</si>
  <si>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</si>
  <si>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</si>
  <si>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</si>
  <si>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</si>
  <si>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</si>
  <si>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</si>
  <si>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</si>
  <si>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</si>
  <si>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</si>
  <si>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</si>
  <si>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</si>
  <si>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</si>
  <si>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</si>
  <si>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</si>
  <si>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</si>
  <si>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</si>
  <si>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</si>
  <si>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Elektrodistribucija a.d. Pale</t>
  </si>
  <si>
    <t>Pale</t>
  </si>
  <si>
    <t>2,A1)</t>
  </si>
  <si>
    <t>Slobodan Butulija</t>
  </si>
  <si>
    <t>0029/24</t>
  </si>
  <si>
    <t>Aco Stanišić ma. ecc</t>
  </si>
  <si>
    <t>Nikole Tesle 12</t>
  </si>
  <si>
    <t>www.edbpale.com</t>
  </si>
  <si>
    <t>uprava@edbpale.com</t>
  </si>
  <si>
    <t>"Obnovljivi izvori električne energije Bogatići i Mesići" d.o.o. 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</si>
</sst>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48"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1" fillId="6" borderId="54" applyNumberFormat="0" applyAlignment="0" applyProtection="0"/>
    <xf numFmtId="0" fontId="12" fillId="7" borderId="0" applyNumberFormat="0" applyBorder="0" applyAlignment="0" applyProtection="0"/>
    <xf numFmtId="169" fontId="6" fillId="0" borderId="0" applyFill="0" applyBorder="0">
      <alignment horizontal="center" vertical="center" wrapText="1"/>
      <protection hidden="1"/>
    </xf>
    <xf numFmtId="0" fontId="13" fillId="0" borderId="0" applyNumberFormat="0" applyFill="0" applyBorder="0" applyAlignment="0" applyProtection="0"/>
    <xf numFmtId="0" fontId="14" fillId="8" borderId="2">
      <alignment horizontal="center" vertical="center"/>
      <protection locked="0"/>
    </xf>
    <xf numFmtId="170" fontId="7" fillId="8" borderId="3">
      <alignment horizontal="left" indent="1"/>
      <protection locked="0"/>
    </xf>
    <xf numFmtId="0" fontId="14"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4" fillId="13" borderId="54" applyNumberFormat="0" applyAlignment="0" applyProtection="0"/>
    <xf numFmtId="164" fontId="6" fillId="0" borderId="0" applyFont="0" applyFill="0" applyBorder="0" applyAlignment="0" applyProtection="0"/>
  </cellStyleXfs>
  <cellXfs count="8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5" fillId="3" borderId="6" xfId="0"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protection hidden="1"/>
    </xf>
    <xf numFmtId="0" fontId="15" fillId="3" borderId="6" xfId="0" applyFont="1" applyFill="1" applyBorder="1" applyAlignment="1" applyProtection="1">
      <alignment horizontal="center"/>
      <protection hidden="1"/>
    </xf>
    <xf numFmtId="0" fontId="15"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2"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5" fillId="3" borderId="55" xfId="0" applyFont="1" applyFill="1" applyBorder="1" applyAlignment="1" applyProtection="1">
      <alignment horizontal="center" vertical="center" wrapText="1"/>
      <protection hidden="1"/>
    </xf>
    <xf numFmtId="0" fontId="15"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1"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5" fillId="3" borderId="62" xfId="0" applyFont="1" applyFill="1" applyBorder="1" applyAlignment="1" applyProtection="1">
      <alignment horizontal="center"/>
      <protection hidden="1"/>
    </xf>
    <xf numFmtId="0" fontId="15"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5" fillId="3" borderId="63" xfId="0" quotePrefix="1" applyFont="1" applyFill="1" applyBorder="1" applyAlignment="1" applyProtection="1">
      <alignment horizontal="center"/>
      <protection hidden="1"/>
    </xf>
    <xf numFmtId="0" fontId="15"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4"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3" fillId="0" borderId="0" xfId="5" applyAlignment="1" applyProtection="1">
      <alignment horizontal="left"/>
      <protection hidden="1"/>
    </xf>
    <xf numFmtId="0" fontId="13" fillId="0" borderId="0" xfId="5" applyProtection="1">
      <protection hidden="1"/>
    </xf>
    <xf numFmtId="0" fontId="4" fillId="10" borderId="19" xfId="0" applyFont="1" applyFill="1" applyBorder="1" applyAlignment="1" applyProtection="1">
      <alignment horizontal="right" vertical="center" indent="1"/>
      <protection hidden="1"/>
    </xf>
    <xf numFmtId="0" fontId="14"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4" fillId="8" borderId="21" xfId="8" applyBorder="1" applyProtection="1">
      <alignment horizontal="left" vertical="center"/>
      <protection hidden="1"/>
    </xf>
    <xf numFmtId="0" fontId="14"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9" fillId="0" borderId="0" xfId="0" applyFont="1" applyBorder="1" applyAlignment="1" applyProtection="1">
      <alignment horizontal="left" vertical="center" wrapText="1" indent="1"/>
      <protection hidden="1"/>
    </xf>
    <xf numFmtId="0" fontId="9" fillId="0" borderId="0" xfId="0" applyFont="1" applyBorder="1" applyAlignment="1" applyProtection="1">
      <alignment horizontal="left" indent="1"/>
      <protection hidden="1"/>
    </xf>
    <xf numFmtId="0" fontId="9"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4" fillId="8" borderId="21" xfId="6" applyBorder="1">
      <alignment horizontal="center" vertical="center"/>
      <protection locked="0"/>
    </xf>
    <xf numFmtId="0" fontId="14" fillId="8" borderId="5" xfId="6" applyBorder="1">
      <alignment horizontal="center" vertical="center"/>
      <protection locked="0"/>
    </xf>
    <xf numFmtId="0" fontId="7" fillId="0" borderId="0" xfId="0" applyFont="1" applyFill="1" applyProtection="1">
      <protection hidden="1"/>
    </xf>
    <xf numFmtId="0" fontId="17" fillId="0" borderId="0" xfId="0" applyFont="1" applyFill="1" applyProtection="1">
      <protection hidden="1"/>
    </xf>
    <xf numFmtId="0" fontId="18" fillId="0" borderId="0" xfId="0" applyFont="1" applyFill="1" applyAlignment="1" applyProtection="1">
      <alignment horizontal="center" vertical="center"/>
      <protection hidden="1"/>
    </xf>
    <xf numFmtId="0" fontId="19"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4"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0" fillId="0" borderId="30" xfId="0" applyFont="1" applyFill="1" applyBorder="1" applyProtection="1">
      <protection hidden="1"/>
    </xf>
    <xf numFmtId="0" fontId="20"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4"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7"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5" fillId="3" borderId="94" xfId="0" applyFont="1" applyFill="1" applyBorder="1" applyAlignment="1" applyProtection="1">
      <alignment horizontal="center"/>
      <protection hidden="1"/>
    </xf>
    <xf numFmtId="0" fontId="15"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5"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7" fillId="0" borderId="2" xfId="0" applyFont="1" applyBorder="1" applyAlignment="1">
      <alignment horizontal="center" vertical="center" wrapText="1"/>
    </xf>
    <xf numFmtId="0" fontId="6" fillId="0" borderId="0" xfId="10" applyBorder="1" applyAlignment="1">
      <protection hidden="1"/>
    </xf>
    <xf numFmtId="0" fontId="0" fillId="0" borderId="116" xfId="0" applyBorder="1"/>
    <xf numFmtId="0" fontId="34" fillId="0" borderId="0" xfId="0" applyFont="1" applyProtection="1">
      <protection hidden="1"/>
    </xf>
    <xf numFmtId="165" fontId="34" fillId="0" borderId="0" xfId="0" applyNumberFormat="1" applyFont="1" applyProtection="1">
      <protection hidden="1"/>
    </xf>
    <xf numFmtId="0" fontId="34"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7"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7"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7"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7" fillId="0" borderId="2" xfId="0" applyFont="1" applyBorder="1" applyAlignment="1">
      <alignment horizontal="left" vertical="center" wrapText="1"/>
    </xf>
    <xf numFmtId="0" fontId="27" fillId="0" borderId="2" xfId="0" applyFont="1" applyBorder="1" applyAlignment="1">
      <alignment horizontal="left" wrapText="1"/>
    </xf>
    <xf numFmtId="0" fontId="32" fillId="6" borderId="54" xfId="2" applyFont="1" applyAlignment="1">
      <alignment horizontal="left"/>
    </xf>
    <xf numFmtId="0" fontId="33"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1" fillId="6" borderId="54" xfId="2" applyAlignment="1">
      <alignment horizontal="left"/>
    </xf>
    <xf numFmtId="0" fontId="11"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1" fillId="6" borderId="54" xfId="2" applyAlignment="1">
      <alignment horizontal="left" vertical="center" wrapText="1"/>
    </xf>
    <xf numFmtId="0" fontId="32"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5"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29"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8" fillId="19" borderId="2" xfId="0" applyFont="1" applyFill="1" applyBorder="1" applyAlignment="1" applyProtection="1">
      <alignment horizontal="left" vertical="center" wrapText="1"/>
      <protection hidden="1"/>
    </xf>
    <xf numFmtId="0" fontId="35" fillId="19" borderId="0" xfId="0" applyFont="1" applyFill="1" applyAlignment="1">
      <alignment horizontal="left"/>
    </xf>
    <xf numFmtId="0" fontId="29"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6" fillId="19" borderId="0" xfId="0" applyFont="1" applyFill="1" applyAlignment="1">
      <alignment horizontal="left"/>
    </xf>
    <xf numFmtId="0" fontId="28"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7" fillId="21" borderId="57" xfId="4" applyFont="1" applyFill="1" applyBorder="1">
      <alignment horizontal="center" vertical="center" wrapText="1"/>
      <protection hidden="1"/>
    </xf>
    <xf numFmtId="169" fontId="39" fillId="0" borderId="57" xfId="4" applyFont="1" applyFill="1" applyBorder="1">
      <alignment horizontal="center" vertical="center" wrapText="1"/>
      <protection hidden="1"/>
    </xf>
    <xf numFmtId="169" fontId="37" fillId="0" borderId="57" xfId="4" applyFont="1" applyFill="1" applyBorder="1">
      <alignment horizontal="center" vertical="center" wrapText="1"/>
      <protection hidden="1"/>
    </xf>
    <xf numFmtId="169" fontId="39"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7"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8"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6" fillId="7" borderId="0" xfId="3" applyFont="1" applyBorder="1" applyAlignment="1">
      <alignment horizontal="center" vertical="center" wrapText="1"/>
    </xf>
    <xf numFmtId="0" fontId="0" fillId="0" borderId="0" xfId="0" applyBorder="1" applyAlignment="1">
      <alignment horizontal="left" vertical="center" wrapText="1"/>
    </xf>
    <xf numFmtId="0" fontId="30" fillId="0" borderId="0" xfId="0" applyFont="1" applyFill="1" applyBorder="1" applyAlignment="1" applyProtection="1">
      <alignment vertical="center" wrapText="1"/>
      <protection hidden="1"/>
    </xf>
    <xf numFmtId="0" fontId="25"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8" xfId="0" applyNumberFormat="1" applyFill="1" applyBorder="1" applyAlignment="1" applyProtection="1">
      <alignment horizontal="center" vertical="center"/>
      <protection locked="0"/>
    </xf>
    <xf numFmtId="3" fontId="0" fillId="0" borderId="119" xfId="0" applyNumberFormat="1" applyBorder="1" applyAlignment="1" applyProtection="1">
      <alignment horizontal="center" vertical="center"/>
      <protection locked="0"/>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0" borderId="121"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6"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7"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7" fillId="19" borderId="0" xfId="0" applyFont="1" applyFill="1" applyBorder="1" applyAlignment="1">
      <alignment horizontal="left" vertical="center" wrapText="1"/>
    </xf>
    <xf numFmtId="0" fontId="27" fillId="19" borderId="0" xfId="0" applyFont="1" applyFill="1" applyBorder="1" applyAlignment="1">
      <alignment horizontal="left" wrapText="1"/>
    </xf>
    <xf numFmtId="0" fontId="27" fillId="19" borderId="0" xfId="0" applyFont="1" applyFill="1" applyBorder="1" applyAlignment="1">
      <alignment horizontal="left" vertical="top" wrapText="1"/>
    </xf>
    <xf numFmtId="0" fontId="37" fillId="0" borderId="0" xfId="0" applyFont="1" applyBorder="1" applyAlignment="1" applyProtection="1">
      <alignment vertical="center" wrapText="1"/>
      <protection hidden="1"/>
    </xf>
    <xf numFmtId="0" fontId="37" fillId="21" borderId="0" xfId="0" applyFont="1" applyFill="1" applyBorder="1" applyAlignment="1" applyProtection="1">
      <alignment vertical="center" wrapText="1"/>
      <protection hidden="1"/>
    </xf>
    <xf numFmtId="0" fontId="38"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37"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2"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5" fillId="3" borderId="94" xfId="0" applyFont="1" applyFill="1" applyBorder="1" applyAlignment="1" applyProtection="1">
      <protection hidden="1"/>
    </xf>
    <xf numFmtId="0" fontId="15" fillId="3" borderId="93" xfId="0" applyFont="1" applyFill="1" applyBorder="1" applyAlignment="1" applyProtection="1">
      <protection hidden="1"/>
    </xf>
    <xf numFmtId="3" fontId="5" fillId="0" borderId="124" xfId="0" applyNumberFormat="1" applyFont="1" applyFill="1" applyBorder="1" applyAlignment="1" applyProtection="1">
      <alignment horizontal="right" vertical="center"/>
      <protection hidden="1"/>
    </xf>
    <xf numFmtId="3" fontId="5" fillId="0" borderId="125" xfId="0" applyNumberFormat="1" applyFont="1" applyFill="1" applyBorder="1" applyAlignment="1" applyProtection="1">
      <alignment horizontal="right" vertical="center"/>
      <protection hidden="1"/>
    </xf>
    <xf numFmtId="0" fontId="15" fillId="3" borderId="126" xfId="0" applyFont="1" applyFill="1" applyBorder="1" applyAlignment="1" applyProtection="1">
      <alignment horizontal="center"/>
      <protection hidden="1"/>
    </xf>
    <xf numFmtId="0" fontId="15" fillId="3" borderId="123"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2" fillId="0" borderId="0" xfId="0" applyFont="1" applyFill="1" applyProtection="1">
      <protection hidden="1"/>
    </xf>
    <xf numFmtId="0" fontId="41" fillId="0" borderId="0" xfId="0" applyFont="1" applyFill="1" applyProtection="1">
      <protection hidden="1"/>
    </xf>
    <xf numFmtId="0" fontId="0" fillId="0" borderId="0" xfId="0" applyBorder="1" applyAlignment="1">
      <alignment vertical="center"/>
    </xf>
    <xf numFmtId="3" fontId="0" fillId="4" borderId="124" xfId="0" applyNumberFormat="1" applyFill="1" applyBorder="1" applyAlignment="1" applyProtection="1">
      <alignment horizontal="right" vertical="center"/>
      <protection locked="0"/>
    </xf>
    <xf numFmtId="167" fontId="5" fillId="0" borderId="127" xfId="1" applyFont="1" applyFill="1" applyBorder="1">
      <alignment horizontal="center" vertical="center"/>
      <protection hidden="1"/>
    </xf>
    <xf numFmtId="3" fontId="0" fillId="0" borderId="128" xfId="0" applyNumberFormat="1" applyBorder="1" applyAlignment="1" applyProtection="1">
      <alignment horizontal="right" vertical="center"/>
      <protection locked="0"/>
    </xf>
    <xf numFmtId="3" fontId="0" fillId="0" borderId="124" xfId="0" applyNumberFormat="1" applyBorder="1" applyAlignment="1" applyProtection="1">
      <alignment horizontal="right" vertical="center"/>
      <protection locked="0"/>
    </xf>
    <xf numFmtId="3" fontId="0" fillId="4" borderId="130" xfId="0" applyNumberFormat="1" applyFill="1" applyBorder="1" applyAlignment="1" applyProtection="1">
      <alignment horizontal="right" vertical="center"/>
      <protection locked="0"/>
    </xf>
    <xf numFmtId="3" fontId="0" fillId="0" borderId="129"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1"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3" fillId="0" borderId="0" xfId="0" applyFont="1" applyAlignment="1" applyProtection="1">
      <alignment horizontal="right"/>
      <protection hidden="1"/>
    </xf>
    <xf numFmtId="0" fontId="23" fillId="0" borderId="0" xfId="0" applyFont="1" applyProtection="1">
      <protection hidden="1"/>
    </xf>
    <xf numFmtId="0" fontId="23" fillId="0" borderId="0" xfId="0" applyFont="1" applyAlignment="1" applyProtection="1">
      <alignment horizontal="center" vertical="center"/>
      <protection hidden="1"/>
    </xf>
    <xf numFmtId="0" fontId="23" fillId="0" borderId="0" xfId="0" applyFont="1" applyAlignment="1">
      <alignment wrapText="1"/>
    </xf>
    <xf numFmtId="169" fontId="23"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3" fillId="0" borderId="57" xfId="4" applyFont="1" applyFill="1" applyBorder="1">
      <alignment horizontal="center" vertical="center" wrapText="1"/>
      <protection hidden="1"/>
    </xf>
    <xf numFmtId="0" fontId="31" fillId="3" borderId="62" xfId="0" applyFont="1" applyFill="1" applyBorder="1" applyAlignment="1" applyProtection="1">
      <alignment horizontal="center"/>
      <protection hidden="1"/>
    </xf>
    <xf numFmtId="169" fontId="23" fillId="4" borderId="60" xfId="4" applyFont="1" applyFill="1" applyBorder="1">
      <alignment horizontal="center" vertical="center" wrapText="1"/>
      <protection hidden="1"/>
    </xf>
    <xf numFmtId="0" fontId="23"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5" fillId="3" borderId="133" xfId="0" applyFont="1" applyFill="1" applyBorder="1" applyAlignment="1" applyProtection="1">
      <alignment horizontal="center"/>
      <protection hidden="1"/>
    </xf>
    <xf numFmtId="0" fontId="15" fillId="3" borderId="132" xfId="0" applyFont="1" applyFill="1" applyBorder="1" applyAlignment="1" applyProtection="1">
      <alignment horizontal="center"/>
      <protection hidden="1"/>
    </xf>
    <xf numFmtId="3" fontId="5" fillId="0" borderId="134" xfId="0" applyNumberFormat="1" applyFont="1" applyBorder="1" applyAlignment="1" applyProtection="1">
      <alignment horizontal="right" vertical="center"/>
      <protection hidden="1"/>
    </xf>
    <xf numFmtId="3" fontId="5" fillId="4" borderId="134" xfId="0" applyNumberFormat="1" applyFont="1" applyFill="1" applyBorder="1" applyAlignment="1" applyProtection="1">
      <alignment horizontal="right" vertical="center"/>
      <protection hidden="1"/>
    </xf>
    <xf numFmtId="3" fontId="0" fillId="0" borderId="134" xfId="0" applyNumberFormat="1" applyBorder="1" applyAlignment="1" applyProtection="1">
      <alignment horizontal="right" vertical="center"/>
      <protection hidden="1"/>
    </xf>
    <xf numFmtId="3" fontId="0" fillId="4" borderId="134" xfId="0" applyNumberFormat="1" applyFill="1" applyBorder="1" applyAlignment="1" applyProtection="1">
      <alignment horizontal="right" vertical="center"/>
      <protection hidden="1"/>
    </xf>
    <xf numFmtId="3" fontId="5" fillId="4" borderId="138" xfId="0" applyNumberFormat="1" applyFont="1" applyFill="1" applyBorder="1" applyAlignment="1" applyProtection="1">
      <alignment horizontal="right" vertical="center"/>
      <protection hidden="1"/>
    </xf>
    <xf numFmtId="3" fontId="5"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5" fillId="3" borderId="153"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5" fillId="3" borderId="1" xfId="0" applyFont="1" applyFill="1" applyBorder="1" applyAlignment="1" applyProtection="1">
      <alignment horizontal="center" vertical="center" wrapText="1"/>
      <protection hidden="1"/>
    </xf>
    <xf numFmtId="3" fontId="5" fillId="0" borderId="155" xfId="0" applyNumberFormat="1" applyFont="1" applyFill="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5"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6"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4"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4"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38" xfId="1" applyFont="1" applyFill="1" applyBorder="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3" fillId="0" borderId="0" xfId="0" applyFont="1" applyProtection="1">
      <protection hidden="1"/>
    </xf>
    <xf numFmtId="49" fontId="6" fillId="0" borderId="0" xfId="9" applyFill="1" applyBorder="1" applyAlignment="1">
      <alignment vertical="center"/>
      <protection hidden="1"/>
    </xf>
    <xf numFmtId="3" fontId="0" fillId="0" borderId="158"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5"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7"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6"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7"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39"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7"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39"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6"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4" fillId="8" borderId="2" xfId="6" applyProtection="1">
      <alignment horizontal="center" vertical="center"/>
    </xf>
    <xf numFmtId="0" fontId="14" fillId="8" borderId="21" xfId="6" applyBorder="1" applyProtection="1">
      <alignment horizontal="center" vertical="center"/>
    </xf>
    <xf numFmtId="0" fontId="14" fillId="8" borderId="5" xfId="6" applyBorder="1" applyProtection="1">
      <alignment horizontal="center" vertical="center"/>
    </xf>
    <xf numFmtId="0" fontId="1" fillId="8" borderId="2" xfId="6" applyFont="1" applyProtection="1">
      <alignment horizontal="center" vertical="center"/>
      <protection locked="0"/>
    </xf>
    <xf numFmtId="0" fontId="14" fillId="8" borderId="2" xfId="6" applyProtection="1">
      <alignment horizontal="center" vertical="center"/>
      <protection locked="0"/>
    </xf>
    <xf numFmtId="3" fontId="0" fillId="4" borderId="13" xfId="0" applyNumberFormat="1" applyFont="1" applyFill="1" applyBorder="1" applyAlignment="1" applyProtection="1">
      <alignment horizontal="right" vertical="center"/>
      <protection locked="0"/>
    </xf>
    <xf numFmtId="3" fontId="0" fillId="0" borderId="1" xfId="0" applyNumberFormat="1" applyFont="1" applyBorder="1" applyAlignment="1" applyProtection="1">
      <alignment horizontal="right" vertical="center"/>
      <protection locked="0" hidden="1"/>
    </xf>
    <xf numFmtId="3" fontId="0" fillId="4" borderId="1" xfId="0" applyNumberFormat="1" applyFont="1" applyFill="1" applyBorder="1" applyAlignment="1" applyProtection="1">
      <alignment horizontal="right" vertical="center"/>
      <protection locked="0" hidden="1"/>
    </xf>
    <xf numFmtId="3" fontId="5" fillId="0" borderId="1" xfId="0" applyNumberFormat="1" applyFont="1" applyBorder="1" applyAlignment="1" applyProtection="1">
      <alignment horizontal="right" vertical="center"/>
      <protection locked="0" hidden="1"/>
    </xf>
    <xf numFmtId="3" fontId="5" fillId="4" borderId="1" xfId="0" applyNumberFormat="1" applyFont="1" applyFill="1" applyBorder="1" applyAlignment="1" applyProtection="1">
      <alignment horizontal="right" vertical="center"/>
      <protection locked="0" hidden="1"/>
    </xf>
    <xf numFmtId="3" fontId="5" fillId="0" borderId="11" xfId="0" applyNumberFormat="1" applyFont="1" applyBorder="1" applyAlignment="1" applyProtection="1">
      <alignment horizontal="right" vertical="center"/>
      <protection locked="0" hidden="1"/>
    </xf>
    <xf numFmtId="3" fontId="0" fillId="0" borderId="58"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0" borderId="159" xfId="0" applyNumberFormat="1" applyBorder="1" applyAlignment="1" applyProtection="1">
      <alignment horizontal="right" vertical="center"/>
      <protection locked="0"/>
    </xf>
    <xf numFmtId="3" fontId="0" fillId="4" borderId="160" xfId="0" applyNumberFormat="1" applyFont="1" applyFill="1" applyBorder="1" applyAlignment="1" applyProtection="1">
      <alignment horizontal="right" vertical="center"/>
      <protection locked="0"/>
    </xf>
    <xf numFmtId="3" fontId="0" fillId="4" borderId="160" xfId="0" applyNumberFormat="1" applyFill="1" applyBorder="1" applyAlignment="1" applyProtection="1">
      <alignment horizontal="right" vertical="center"/>
      <protection locked="0"/>
    </xf>
    <xf numFmtId="3" fontId="5" fillId="4" borderId="160" xfId="0" applyNumberFormat="1" applyFont="1" applyFill="1" applyBorder="1" applyAlignment="1" applyProtection="1">
      <alignment horizontal="right" vertical="center"/>
      <protection locked="0"/>
    </xf>
    <xf numFmtId="3" fontId="0" fillId="0" borderId="160" xfId="0" applyNumberFormat="1" applyBorder="1" applyAlignment="1" applyProtection="1">
      <alignment horizontal="right" vertical="center"/>
      <protection locked="0"/>
    </xf>
    <xf numFmtId="3" fontId="5" fillId="0" borderId="160" xfId="0" applyNumberFormat="1" applyFont="1" applyBorder="1" applyAlignment="1" applyProtection="1">
      <alignment horizontal="right" vertical="center"/>
      <protection locked="0"/>
    </xf>
    <xf numFmtId="3" fontId="5" fillId="4" borderId="58" xfId="0" applyNumberFormat="1" applyFont="1" applyFill="1" applyBorder="1" applyAlignment="1" applyProtection="1">
      <alignment horizontal="right" vertical="center"/>
      <protection locked="0" hidden="1"/>
    </xf>
    <xf numFmtId="3" fontId="0" fillId="0" borderId="58" xfId="0" applyNumberFormat="1" applyFont="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protection locked="0"/>
    </xf>
    <xf numFmtId="0" fontId="18" fillId="0" borderId="0" xfId="0" applyFont="1" applyFill="1" applyAlignment="1" applyProtection="1">
      <alignment horizontal="center" vertical="center"/>
      <protection hidden="1"/>
    </xf>
    <xf numFmtId="0" fontId="21" fillId="0" borderId="4" xfId="6" applyFont="1" applyFill="1" applyBorder="1" applyAlignment="1" applyProtection="1">
      <alignment horizontal="right" vertical="center" indent="1"/>
      <protection hidden="1"/>
    </xf>
    <xf numFmtId="0" fontId="21" fillId="8" borderId="21" xfId="6" applyFont="1" applyBorder="1" applyAlignment="1">
      <alignment horizontal="right" vertical="center" indent="1"/>
      <protection locked="0"/>
    </xf>
    <xf numFmtId="0" fontId="21" fillId="8" borderId="22" xfId="6" applyFont="1" applyBorder="1" applyAlignment="1">
      <alignment horizontal="right" vertical="center" indent="1"/>
      <protection locked="0"/>
    </xf>
    <xf numFmtId="0" fontId="21" fillId="8" borderId="34" xfId="6" applyFont="1" applyBorder="1" applyProtection="1">
      <alignment horizontal="center" vertical="center"/>
    </xf>
    <xf numFmtId="0" fontId="21" fillId="8" borderId="35" xfId="6" applyFont="1" applyBorder="1" applyProtection="1">
      <alignment horizontal="center" vertical="center"/>
    </xf>
    <xf numFmtId="0" fontId="21" fillId="8" borderId="36" xfId="6" applyFont="1" applyBorder="1" applyProtection="1">
      <alignment horizontal="center" vertical="center"/>
    </xf>
    <xf numFmtId="0" fontId="21" fillId="8" borderId="37" xfId="6" applyFont="1" applyBorder="1" applyProtection="1">
      <alignment horizontal="center" vertical="center"/>
    </xf>
    <xf numFmtId="0" fontId="21" fillId="8" borderId="0" xfId="6" applyFont="1" applyBorder="1" applyProtection="1">
      <alignment horizontal="center" vertical="center"/>
    </xf>
    <xf numFmtId="0" fontId="21" fillId="8" borderId="38" xfId="6" applyFont="1" applyBorder="1" applyProtection="1">
      <alignment horizontal="center" vertical="center"/>
    </xf>
    <xf numFmtId="0" fontId="21" fillId="8" borderId="39" xfId="6" applyFont="1" applyBorder="1" applyProtection="1">
      <alignment horizontal="center" vertical="center"/>
    </xf>
    <xf numFmtId="0" fontId="21" fillId="8" borderId="40" xfId="6" applyFont="1" applyBorder="1" applyProtection="1">
      <alignment horizontal="center" vertical="center"/>
    </xf>
    <xf numFmtId="0" fontId="21"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2" fillId="8" borderId="4" xfId="8" applyFont="1" applyProtection="1">
      <alignment horizontal="left" vertical="center"/>
    </xf>
    <xf numFmtId="0" fontId="14" fillId="8" borderId="21" xfId="6" applyBorder="1" applyAlignment="1">
      <alignment horizontal="right" vertical="center" indent="1"/>
      <protection locked="0"/>
    </xf>
    <xf numFmtId="0" fontId="14" fillId="8" borderId="26" xfId="6" applyBorder="1" applyAlignment="1">
      <alignment horizontal="right" vertical="center" indent="1"/>
      <protection locked="0"/>
    </xf>
    <xf numFmtId="0" fontId="14" fillId="8" borderId="22" xfId="6" applyBorder="1" applyAlignment="1">
      <alignment horizontal="right" vertical="center" indent="1"/>
      <protection locked="0"/>
    </xf>
    <xf numFmtId="0" fontId="1" fillId="8" borderId="4" xfId="8" applyFont="1">
      <alignment horizontal="left" vertical="center"/>
      <protection locked="0"/>
    </xf>
    <xf numFmtId="0" fontId="14" fillId="8" borderId="4" xfId="8">
      <alignment horizontal="left" vertical="center"/>
      <protection locked="0"/>
    </xf>
    <xf numFmtId="0" fontId="1" fillId="8" borderId="4" xfId="8" applyFont="1" applyProtection="1">
      <alignment horizontal="left" vertical="center"/>
    </xf>
    <xf numFmtId="0" fontId="14" fillId="8" borderId="4" xfId="8" applyProtection="1">
      <alignment horizontal="left" vertical="center"/>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5" fillId="3" borderId="43" xfId="0" applyFont="1" applyFill="1" applyBorder="1" applyAlignment="1" applyProtection="1">
      <alignment horizontal="center" vertical="center" wrapText="1"/>
      <protection hidden="1"/>
    </xf>
    <xf numFmtId="0" fontId="15" fillId="3" borderId="25" xfId="0" applyFont="1" applyFill="1" applyBorder="1" applyAlignment="1" applyProtection="1">
      <alignment horizontal="center" vertical="center" wrapText="1"/>
      <protection hidden="1"/>
    </xf>
    <xf numFmtId="0" fontId="31" fillId="3" borderId="50" xfId="0" applyFont="1" applyFill="1" applyBorder="1" applyAlignment="1" applyProtection="1">
      <alignment horizontal="center" vertical="center" wrapText="1"/>
      <protection hidden="1"/>
    </xf>
    <xf numFmtId="0" fontId="31" fillId="3" borderId="49" xfId="0" applyFont="1" applyFill="1" applyBorder="1" applyAlignment="1" applyProtection="1">
      <alignment horizontal="center" vertical="center" wrapText="1"/>
      <protection hidden="1"/>
    </xf>
    <xf numFmtId="0" fontId="15" fillId="3" borderId="94" xfId="0" applyFont="1" applyFill="1" applyBorder="1" applyAlignment="1" applyProtection="1">
      <alignment horizontal="center"/>
      <protection hidden="1"/>
    </xf>
    <xf numFmtId="0" fontId="15" fillId="3" borderId="95" xfId="0" applyFont="1" applyFill="1" applyBorder="1" applyAlignment="1" applyProtection="1">
      <alignment horizontal="center"/>
      <protection hidden="1"/>
    </xf>
    <xf numFmtId="0" fontId="15" fillId="3" borderId="93" xfId="0" applyFont="1" applyFill="1" applyBorder="1" applyAlignment="1" applyProtection="1">
      <alignment horizontal="center"/>
      <protection hidden="1"/>
    </xf>
    <xf numFmtId="0" fontId="40" fillId="0" borderId="12"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40"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5" fillId="3" borderId="51" xfId="0" applyFont="1" applyFill="1" applyBorder="1" applyAlignment="1" applyProtection="1">
      <alignment horizontal="center" vertical="center" wrapText="1"/>
      <protection hidden="1"/>
    </xf>
    <xf numFmtId="0" fontId="15" fillId="3" borderId="52" xfId="0" applyFont="1" applyFill="1" applyBorder="1" applyAlignment="1" applyProtection="1">
      <alignment horizontal="center" vertical="center" wrapText="1"/>
      <protection hidden="1"/>
    </xf>
    <xf numFmtId="0" fontId="15" fillId="3" borderId="45" xfId="0" applyFont="1" applyFill="1" applyBorder="1" applyAlignment="1" applyProtection="1">
      <alignment horizontal="center" vertical="center"/>
      <protection hidden="1"/>
    </xf>
    <xf numFmtId="0" fontId="15" fillId="3" borderId="24" xfId="0" applyFont="1" applyFill="1" applyBorder="1" applyAlignment="1" applyProtection="1">
      <alignment horizontal="center" vertical="center"/>
      <protection hidden="1"/>
    </xf>
    <xf numFmtId="0" fontId="15" fillId="3" borderId="46" xfId="0" applyFont="1" applyFill="1" applyBorder="1" applyAlignment="1" applyProtection="1">
      <alignment horizontal="center" vertical="center"/>
      <protection hidden="1"/>
    </xf>
    <xf numFmtId="0" fontId="15" fillId="3" borderId="47" xfId="0" applyFont="1" applyFill="1" applyBorder="1" applyAlignment="1" applyProtection="1">
      <alignment horizontal="center" vertical="center"/>
      <protection hidden="1"/>
    </xf>
    <xf numFmtId="0" fontId="15" fillId="3" borderId="53" xfId="0" applyFont="1" applyFill="1" applyBorder="1" applyAlignment="1" applyProtection="1">
      <alignment horizontal="center" vertical="center"/>
      <protection hidden="1"/>
    </xf>
    <xf numFmtId="0" fontId="15" fillId="3" borderId="48" xfId="0" applyFont="1" applyFill="1" applyBorder="1" applyAlignment="1" applyProtection="1">
      <alignment horizontal="center" vertical="center"/>
      <protection hidden="1"/>
    </xf>
    <xf numFmtId="0" fontId="15" fillId="3" borderId="45" xfId="0" applyFont="1" applyFill="1" applyBorder="1" applyAlignment="1" applyProtection="1">
      <alignment horizontal="center" vertical="center" wrapText="1"/>
      <protection hidden="1"/>
    </xf>
    <xf numFmtId="0" fontId="15" fillId="3" borderId="46"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wrapText="1"/>
      <protection hidden="1"/>
    </xf>
    <xf numFmtId="0" fontId="15" fillId="3" borderId="98" xfId="0" applyFont="1" applyFill="1" applyBorder="1" applyAlignment="1" applyProtection="1">
      <alignment horizontal="center" vertical="center" wrapText="1"/>
      <protection hidden="1"/>
    </xf>
    <xf numFmtId="0" fontId="15" fillId="3" borderId="17" xfId="0" applyFont="1" applyFill="1" applyBorder="1" applyAlignment="1" applyProtection="1">
      <alignment horizontal="center" vertical="center" wrapText="1"/>
      <protection hidden="1"/>
    </xf>
    <xf numFmtId="0" fontId="15" fillId="3" borderId="49" xfId="0" applyFont="1" applyFill="1" applyBorder="1" applyAlignment="1" applyProtection="1">
      <alignment horizontal="center" vertical="center" wrapText="1"/>
      <protection hidden="1"/>
    </xf>
    <xf numFmtId="0" fontId="15"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5" fillId="12" borderId="45" xfId="0" applyFont="1" applyFill="1" applyBorder="1" applyAlignment="1" applyProtection="1">
      <alignment horizontal="center" vertical="center"/>
      <protection hidden="1"/>
    </xf>
    <xf numFmtId="0" fontId="15" fillId="12" borderId="24" xfId="0" applyFont="1" applyFill="1" applyBorder="1" applyAlignment="1" applyProtection="1">
      <alignment horizontal="center" vertical="center"/>
      <protection hidden="1"/>
    </xf>
    <xf numFmtId="0" fontId="15" fillId="12" borderId="46" xfId="0" applyFont="1" applyFill="1" applyBorder="1" applyAlignment="1" applyProtection="1">
      <alignment horizontal="center" vertical="center"/>
      <protection hidden="1"/>
    </xf>
    <xf numFmtId="0" fontId="15" fillId="12" borderId="47" xfId="0" applyFont="1" applyFill="1" applyBorder="1" applyAlignment="1" applyProtection="1">
      <alignment horizontal="center" vertical="center"/>
      <protection hidden="1"/>
    </xf>
    <xf numFmtId="0" fontId="15" fillId="12" borderId="53" xfId="0" applyFont="1" applyFill="1" applyBorder="1" applyAlignment="1" applyProtection="1">
      <alignment horizontal="center" vertical="center"/>
      <protection hidden="1"/>
    </xf>
    <xf numFmtId="0" fontId="15"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5" fillId="3" borderId="18" xfId="0" applyFont="1" applyFill="1" applyBorder="1" applyAlignment="1" applyProtection="1">
      <alignment horizontal="center" vertical="center" wrapText="1"/>
      <protection hidden="1"/>
    </xf>
    <xf numFmtId="0" fontId="15"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0" fillId="4" borderId="12" xfId="0" applyFont="1" applyFill="1" applyBorder="1" applyAlignment="1" applyProtection="1">
      <alignment horizontal="left" vertical="center" wrapText="1"/>
      <protection hidden="1"/>
    </xf>
    <xf numFmtId="0" fontId="40" fillId="4" borderId="42" xfId="0" applyFont="1" applyFill="1" applyBorder="1" applyAlignment="1" applyProtection="1">
      <alignment horizontal="left" vertical="center" wrapText="1"/>
      <protection hidden="1"/>
    </xf>
    <xf numFmtId="0" fontId="40" fillId="4" borderId="13" xfId="0" applyFont="1" applyFill="1" applyBorder="1" applyAlignment="1" applyProtection="1">
      <alignment horizontal="left" vertical="center" wrapText="1"/>
      <protection hidden="1"/>
    </xf>
    <xf numFmtId="0" fontId="23" fillId="0" borderId="12" xfId="0" applyFont="1" applyBorder="1" applyAlignment="1" applyProtection="1">
      <alignment horizontal="left" vertical="center" wrapText="1"/>
      <protection hidden="1"/>
    </xf>
    <xf numFmtId="0" fontId="23" fillId="0" borderId="42"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4" borderId="12" xfId="0" applyFont="1" applyFill="1" applyBorder="1" applyAlignment="1" applyProtection="1">
      <alignment horizontal="left" vertical="center" wrapText="1"/>
      <protection hidden="1"/>
    </xf>
    <xf numFmtId="0" fontId="23" fillId="4" borderId="42" xfId="0" applyFont="1" applyFill="1" applyBorder="1" applyAlignment="1" applyProtection="1">
      <alignment horizontal="left" vertical="center" wrapText="1"/>
      <protection hidden="1"/>
    </xf>
    <xf numFmtId="0" fontId="23"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23" fillId="4" borderId="88" xfId="0" applyFont="1" applyFill="1" applyBorder="1" applyAlignment="1" applyProtection="1">
      <alignment horizontal="left" vertical="center" wrapText="1"/>
      <protection hidden="1"/>
    </xf>
    <xf numFmtId="0" fontId="23" fillId="4" borderId="89" xfId="0" applyFont="1" applyFill="1" applyBorder="1" applyAlignment="1" applyProtection="1">
      <alignment horizontal="left" vertical="center" wrapText="1"/>
      <protection hidden="1"/>
    </xf>
    <xf numFmtId="0" fontId="23" fillId="4" borderId="90" xfId="0" applyFont="1" applyFill="1" applyBorder="1" applyAlignment="1" applyProtection="1">
      <alignment horizontal="left" vertical="center" wrapText="1"/>
      <protection hidden="1"/>
    </xf>
    <xf numFmtId="0" fontId="15" fillId="3" borderId="101" xfId="0" applyFont="1" applyFill="1" applyBorder="1" applyAlignment="1" applyProtection="1">
      <alignment horizontal="center" vertical="center" wrapText="1"/>
      <protection hidden="1"/>
    </xf>
    <xf numFmtId="0" fontId="15" fillId="3" borderId="102" xfId="0" applyFont="1" applyFill="1" applyBorder="1" applyAlignment="1" applyProtection="1">
      <alignment horizontal="center" vertical="center" wrapText="1"/>
      <protection hidden="1"/>
    </xf>
    <xf numFmtId="0" fontId="15" fillId="3" borderId="113" xfId="0" applyFont="1" applyFill="1" applyBorder="1" applyAlignment="1" applyProtection="1">
      <alignment horizontal="center" vertical="center"/>
      <protection hidden="1"/>
    </xf>
    <xf numFmtId="0" fontId="15" fillId="3" borderId="114" xfId="0" applyFont="1" applyFill="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3" fillId="4" borderId="80" xfId="0" applyFont="1" applyFill="1" applyBorder="1" applyAlignment="1" applyProtection="1">
      <alignment horizontal="left" vertical="center" wrapText="1"/>
      <protection hidden="1"/>
    </xf>
    <xf numFmtId="0" fontId="23" fillId="4" borderId="81" xfId="0" applyFont="1" applyFill="1" applyBorder="1" applyAlignment="1" applyProtection="1">
      <alignment horizontal="left" vertical="center" wrapText="1"/>
      <protection hidden="1"/>
    </xf>
    <xf numFmtId="0" fontId="23" fillId="4" borderId="82" xfId="0" applyFont="1" applyFill="1" applyBorder="1" applyAlignment="1" applyProtection="1">
      <alignment horizontal="left" vertical="center" wrapText="1"/>
      <protection hidden="1"/>
    </xf>
    <xf numFmtId="0" fontId="23" fillId="0" borderId="80" xfId="0" applyFont="1" applyBorder="1" applyAlignment="1" applyProtection="1">
      <alignment horizontal="left" vertical="center" wrapText="1"/>
      <protection hidden="1"/>
    </xf>
    <xf numFmtId="0" fontId="23" fillId="0" borderId="81" xfId="0" applyFont="1" applyBorder="1" applyAlignment="1" applyProtection="1">
      <alignment horizontal="left" vertical="center" wrapText="1"/>
      <protection hidden="1"/>
    </xf>
    <xf numFmtId="0" fontId="23" fillId="0" borderId="82" xfId="0" applyFont="1" applyBorder="1" applyAlignment="1" applyProtection="1">
      <alignment horizontal="left" vertical="center" wrapText="1"/>
      <protection hidden="1"/>
    </xf>
    <xf numFmtId="0" fontId="6" fillId="0" borderId="26" xfId="10" applyBorder="1" applyAlignment="1">
      <alignment horizontal="lef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1" fillId="3" borderId="111" xfId="0" applyFont="1" applyFill="1" applyBorder="1" applyAlignment="1" applyProtection="1">
      <alignment horizontal="center" vertical="center" wrapText="1"/>
      <protection hidden="1"/>
    </xf>
    <xf numFmtId="0" fontId="31" fillId="3" borderId="112" xfId="0" applyFont="1" applyFill="1" applyBorder="1" applyAlignment="1" applyProtection="1">
      <alignment horizontal="center" vertical="center" wrapText="1"/>
      <protection hidden="1"/>
    </xf>
    <xf numFmtId="0" fontId="31" fillId="3" borderId="106" xfId="0" applyFont="1" applyFill="1" applyBorder="1" applyAlignment="1" applyProtection="1">
      <alignment horizontal="center" vertical="center"/>
      <protection hidden="1"/>
    </xf>
    <xf numFmtId="0" fontId="31" fillId="3" borderId="24" xfId="0" applyFont="1" applyFill="1" applyBorder="1" applyAlignment="1" applyProtection="1">
      <alignment horizontal="center" vertical="center"/>
      <protection hidden="1"/>
    </xf>
    <xf numFmtId="0" fontId="31" fillId="3" borderId="107" xfId="0" applyFont="1" applyFill="1" applyBorder="1" applyAlignment="1" applyProtection="1">
      <alignment horizontal="center" vertical="center"/>
      <protection hidden="1"/>
    </xf>
    <xf numFmtId="0" fontId="31" fillId="3" borderId="108" xfId="0" applyFont="1" applyFill="1" applyBorder="1" applyAlignment="1" applyProtection="1">
      <alignment horizontal="center" vertical="center"/>
      <protection hidden="1"/>
    </xf>
    <xf numFmtId="0" fontId="31" fillId="3" borderId="109" xfId="0" applyFont="1" applyFill="1" applyBorder="1" applyAlignment="1" applyProtection="1">
      <alignment horizontal="center" vertical="center"/>
      <protection hidden="1"/>
    </xf>
    <xf numFmtId="0" fontId="31" fillId="3" borderId="110" xfId="0" applyFont="1" applyFill="1" applyBorder="1" applyAlignment="1" applyProtection="1">
      <alignment horizontal="center" vertical="center"/>
      <protection hidden="1"/>
    </xf>
    <xf numFmtId="0" fontId="31" fillId="3" borderId="103" xfId="0" applyFont="1" applyFill="1" applyBorder="1" applyAlignment="1" applyProtection="1">
      <alignment horizontal="center"/>
      <protection hidden="1"/>
    </xf>
    <xf numFmtId="0" fontId="31" fillId="3" borderId="104" xfId="0" applyFont="1" applyFill="1" applyBorder="1" applyAlignment="1" applyProtection="1">
      <alignment horizontal="center"/>
      <protection hidden="1"/>
    </xf>
    <xf numFmtId="0" fontId="31"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3"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5" fillId="3" borderId="83" xfId="0" applyFont="1" applyFill="1" applyBorder="1" applyAlignment="1" applyProtection="1">
      <alignment horizontal="center" vertical="center" wrapText="1"/>
      <protection hidden="1"/>
    </xf>
    <xf numFmtId="0" fontId="15" fillId="3" borderId="84" xfId="0" applyFont="1" applyFill="1" applyBorder="1" applyAlignment="1" applyProtection="1">
      <alignment horizontal="center" vertical="center" wrapText="1"/>
      <protection hidden="1"/>
    </xf>
    <xf numFmtId="0" fontId="15" fillId="3" borderId="78" xfId="0" applyFont="1" applyFill="1" applyBorder="1" applyAlignment="1" applyProtection="1">
      <alignment horizontal="center" vertical="center"/>
      <protection hidden="1"/>
    </xf>
    <xf numFmtId="0" fontId="15" fillId="3" borderId="55" xfId="0" applyFont="1" applyFill="1" applyBorder="1" applyAlignment="1" applyProtection="1">
      <alignment horizontal="center" vertical="center"/>
      <protection hidden="1"/>
    </xf>
    <xf numFmtId="0" fontId="15"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6" xfId="9" applyFont="1" applyBorder="1" applyAlignment="1">
      <alignment horizontal="left" vertical="center"/>
      <protection hidden="1"/>
    </xf>
    <xf numFmtId="0" fontId="6" fillId="0" borderId="116" xfId="10" applyBorder="1" applyAlignment="1">
      <alignment horizontal="left" vertical="center"/>
      <protection hidden="1"/>
    </xf>
    <xf numFmtId="49" fontId="6" fillId="0" borderId="116" xfId="9" applyBorder="1" applyAlignment="1">
      <alignment horizontal="center" vertical="center"/>
      <protection hidden="1"/>
    </xf>
    <xf numFmtId="0" fontId="10" fillId="0" borderId="0" xfId="0" applyFont="1" applyFill="1" applyBorder="1" applyAlignment="1" applyProtection="1">
      <alignment horizontal="center" vertical="center"/>
      <protection hidden="1"/>
    </xf>
    <xf numFmtId="0" fontId="15" fillId="3" borderId="78" xfId="0" applyFont="1" applyFill="1" applyBorder="1" applyAlignment="1" applyProtection="1">
      <alignment horizontal="center" vertical="center" wrapText="1"/>
      <protection hidden="1"/>
    </xf>
    <xf numFmtId="0" fontId="15" fillId="3" borderId="55" xfId="0" applyFont="1" applyFill="1" applyBorder="1" applyAlignment="1" applyProtection="1">
      <alignment horizontal="center" vertical="center" wrapText="1"/>
      <protection hidden="1"/>
    </xf>
    <xf numFmtId="0" fontId="15" fillId="3" borderId="115" xfId="0" applyFont="1" applyFill="1" applyBorder="1" applyAlignment="1" applyProtection="1">
      <alignment horizontal="center" vertical="center"/>
      <protection hidden="1"/>
    </xf>
    <xf numFmtId="0" fontId="0" fillId="0" borderId="116"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6"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5"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5" fillId="3" borderId="150"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hidden="1"/>
    </xf>
    <xf numFmtId="0" fontId="15" fillId="3" borderId="151" xfId="0" applyFont="1" applyFill="1" applyBorder="1" applyAlignment="1" applyProtection="1">
      <alignment horizontal="center" vertical="center" wrapText="1"/>
      <protection hidden="1"/>
    </xf>
    <xf numFmtId="0" fontId="15" fillId="3" borderId="152" xfId="0" applyFont="1" applyFill="1" applyBorder="1" applyAlignment="1" applyProtection="1">
      <alignment horizontal="center" vertical="center" wrapText="1"/>
      <protection hidden="1"/>
    </xf>
    <xf numFmtId="0" fontId="15" fillId="3" borderId="143" xfId="0" applyFont="1" applyFill="1" applyBorder="1" applyAlignment="1" applyProtection="1">
      <alignment horizontal="center" vertical="center" wrapText="1"/>
      <protection hidden="1"/>
    </xf>
    <xf numFmtId="0" fontId="15" fillId="3" borderId="144" xfId="0" applyFont="1" applyFill="1" applyBorder="1" applyAlignment="1" applyProtection="1">
      <alignment horizontal="center" vertical="center" wrapText="1"/>
      <protection hidden="1"/>
    </xf>
    <xf numFmtId="0" fontId="15" fillId="3" borderId="145" xfId="0" applyFont="1" applyFill="1" applyBorder="1" applyAlignment="1" applyProtection="1">
      <alignment horizontal="center" vertical="center" wrapText="1"/>
      <protection hidden="1"/>
    </xf>
    <xf numFmtId="0" fontId="15" fillId="3" borderId="142" xfId="0" applyFont="1" applyFill="1" applyBorder="1" applyAlignment="1" applyProtection="1">
      <alignment horizontal="center" vertical="center" wrapText="1"/>
      <protection hidden="1"/>
    </xf>
    <xf numFmtId="0" fontId="15" fillId="3" borderId="97" xfId="0" applyFont="1" applyFill="1" applyBorder="1" applyAlignment="1" applyProtection="1">
      <alignment horizontal="center" vertical="center" wrapText="1"/>
      <protection hidden="1"/>
    </xf>
    <xf numFmtId="0" fontId="5" fillId="4" borderId="140"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0"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0"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5" fillId="3" borderId="154" xfId="0" applyFont="1" applyFill="1" applyBorder="1" applyAlignment="1" applyProtection="1">
      <alignment horizontal="center" wrapText="1"/>
      <protection hidden="1"/>
    </xf>
    <xf numFmtId="0" fontId="15" fillId="3" borderId="44" xfId="0" applyFont="1" applyFill="1" applyBorder="1" applyAlignment="1" applyProtection="1">
      <alignment horizontal="center" wrapText="1"/>
      <protection hidden="1"/>
    </xf>
    <xf numFmtId="0" fontId="15" fillId="3" borderId="27" xfId="0" applyFont="1" applyFill="1" applyBorder="1" applyAlignment="1" applyProtection="1">
      <alignment horizontal="center" wrapText="1"/>
      <protection hidden="1"/>
    </xf>
    <xf numFmtId="0" fontId="15" fillId="3" borderId="146" xfId="0" applyFont="1" applyFill="1" applyBorder="1" applyAlignment="1" applyProtection="1">
      <alignment horizontal="center" vertical="center" wrapText="1"/>
      <protection hidden="1"/>
    </xf>
    <xf numFmtId="0" fontId="15" fillId="3" borderId="147" xfId="0" applyFont="1" applyFill="1" applyBorder="1" applyAlignment="1" applyProtection="1">
      <alignment horizontal="center" vertical="center"/>
      <protection hidden="1"/>
    </xf>
    <xf numFmtId="0" fontId="15" fillId="3" borderId="148" xfId="0" applyFont="1" applyFill="1" applyBorder="1" applyAlignment="1" applyProtection="1">
      <alignment horizontal="center" vertical="center"/>
      <protection hidden="1"/>
    </xf>
    <xf numFmtId="0" fontId="15" fillId="3" borderId="149" xfId="0" applyFont="1" applyFill="1" applyBorder="1" applyAlignment="1" applyProtection="1">
      <alignment horizontal="center" vertical="center"/>
      <protection hidden="1"/>
    </xf>
    <xf numFmtId="0" fontId="5" fillId="4" borderId="141" xfId="0" applyFont="1" applyFill="1" applyBorder="1" applyAlignment="1" applyProtection="1">
      <alignment vertical="center" wrapText="1"/>
      <protection hidden="1"/>
    </xf>
    <xf numFmtId="0" fontId="5" fillId="4" borderId="136" xfId="0" applyFont="1" applyFill="1" applyBorder="1" applyAlignment="1" applyProtection="1">
      <alignment vertical="center" wrapText="1"/>
      <protection hidden="1"/>
    </xf>
    <xf numFmtId="0" fontId="5" fillId="4" borderId="137" xfId="0" applyFont="1" applyFill="1" applyBorder="1" applyAlignment="1" applyProtection="1">
      <alignment vertical="center" wrapText="1"/>
      <protection hidden="1"/>
    </xf>
    <xf numFmtId="0" fontId="5" fillId="0" borderId="139"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30">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checked="Checked"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xmlns="" id="{00000000-0008-0000-0000-0000FCE30100}"/>
            </a:ext>
          </a:extLst>
        </xdr:cNvPr>
        <xdr:cNvGrpSpPr>
          <a:grpSpLocks/>
        </xdr:cNvGrpSpPr>
      </xdr:nvGrpSpPr>
      <xdr:grpSpPr bwMode="auto">
        <a:xfrm>
          <a:off x="381000" y="47625"/>
          <a:ext cx="10991850" cy="600075"/>
          <a:chOff x="7343770" y="3810028"/>
          <a:chExt cx="7258050" cy="590550"/>
        </a:xfrm>
      </xdr:grpSpPr>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18</xdr:col>
          <xdr:colOff>123825</xdr:colOff>
          <xdr:row>4</xdr:row>
          <xdr:rowOff>0</xdr:rowOff>
        </xdr:to>
        <xdr:sp macro="" textlink="">
          <xdr:nvSpPr>
            <xdr:cNvPr id="31987" name="Navigacija" hidden="1">
              <a:extLst>
                <a:ext uri="{63B3BB69-23CF-44E3-9099-C40C66FF867C}">
                  <a14:compatExt spid="_x0000_s3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365167" y="0"/>
          <a:ext cx="9521783" cy="819511"/>
          <a:chOff x="365167" y="0"/>
          <a:chExt cx="9521783" cy="819511"/>
        </a:xfrm>
      </xdr:grpSpPr>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xmlns=""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xmlns=""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xmlns=""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xmlns=""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xmlns=""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xmlns=""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xmlns=""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xmlns=""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0</xdr:row>
          <xdr:rowOff>0</xdr:rowOff>
        </xdr:from>
        <xdr:to>
          <xdr:col>27</xdr:col>
          <xdr:colOff>1600200</xdr:colOff>
          <xdr:row>3</xdr:row>
          <xdr:rowOff>38100</xdr:rowOff>
        </xdr:to>
        <xdr:sp macro="" textlink="">
          <xdr:nvSpPr>
            <xdr:cNvPr id="24786" name="Navigacija" hidden="1">
              <a:extLst>
                <a:ext uri="{63B3BB69-23CF-44E3-9099-C40C66FF867C}">
                  <a14:compatExt spid="_x0000_s2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xmlns=""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xmlns=""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xmlns=""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xmlns=""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xmlns=""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xmlns=""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xmlns=""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xmlns=""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a16="http://schemas.microsoft.com/office/drawing/2014/main" xmlns=""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a16="http://schemas.microsoft.com/office/drawing/2014/main" xmlns=""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a16="http://schemas.microsoft.com/office/drawing/2014/main" xmlns=""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a16="http://schemas.microsoft.com/office/drawing/2014/main" xmlns=""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a16="http://schemas.microsoft.com/office/drawing/2014/main" xmlns=""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a16="http://schemas.microsoft.com/office/drawing/2014/main" xmlns=""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a16="http://schemas.microsoft.com/office/drawing/2014/main" xmlns=""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a16="http://schemas.microsoft.com/office/drawing/2014/main" xmlns=""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57174" y="28575"/>
          <a:ext cx="9552110" cy="567104"/>
          <a:chOff x="257174" y="28575"/>
          <a:chExt cx="8943975" cy="528271"/>
        </a:xfrm>
      </xdr:grpSpPr>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xmlns=""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xmlns=""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xmlns=""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xmlns=""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xmlns=""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xmlns=""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xmlns=""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xmlns=""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0</xdr:col>
          <xdr:colOff>257175</xdr:colOff>
          <xdr:row>0</xdr:row>
          <xdr:rowOff>28575</xdr:rowOff>
        </xdr:from>
        <xdr:to>
          <xdr:col>11</xdr:col>
          <xdr:colOff>381000</xdr:colOff>
          <xdr:row>3</xdr:row>
          <xdr:rowOff>114300</xdr:rowOff>
        </xdr:to>
        <xdr:sp macro="" textlink="">
          <xdr:nvSpPr>
            <xdr:cNvPr id="85669" name="Navigacija" hidden="1">
              <a:extLst>
                <a:ext uri="{63B3BB69-23CF-44E3-9099-C40C66FF867C}">
                  <a14:compatExt spid="_x0000_s85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xmlns=""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xmlns=""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xmlns=""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xmlns=""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xmlns=""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xmlns=""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xmlns=""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xmlns=""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xmlns="" id="{00000000-0008-0000-0900-0000FCF70100}"/>
            </a:ext>
          </a:extLst>
        </xdr:cNvPr>
        <xdr:cNvGrpSpPr>
          <a:grpSpLocks/>
        </xdr:cNvGrpSpPr>
      </xdr:nvGrpSpPr>
      <xdr:grpSpPr bwMode="auto">
        <a:xfrm>
          <a:off x="381000" y="47625"/>
          <a:ext cx="11706225" cy="590550"/>
          <a:chOff x="7343770" y="3809479"/>
          <a:chExt cx="7258050" cy="590549"/>
        </a:xfrm>
      </xdr:grpSpPr>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xmlns=""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xmlns=""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xmlns=""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xmlns=""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xmlns=""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xmlns=""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xmlns=""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xmlns=""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2</xdr:col>
          <xdr:colOff>28575</xdr:colOff>
          <xdr:row>0</xdr:row>
          <xdr:rowOff>47625</xdr:rowOff>
        </xdr:from>
        <xdr:to>
          <xdr:col>12</xdr:col>
          <xdr:colOff>590550</xdr:colOff>
          <xdr:row>3</xdr:row>
          <xdr:rowOff>152400</xdr:rowOff>
        </xdr:to>
        <xdr:sp macro="" textlink="">
          <xdr:nvSpPr>
            <xdr:cNvPr id="7723" name="Navigacija" hidden="1">
              <a:extLst>
                <a:ext uri="{63B3BB69-23CF-44E3-9099-C40C66FF867C}">
                  <a14:compatExt spid="_x0000_s7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1.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SheetLayoutView="85" workbookViewId="0">
      <pane ySplit="4" topLeftCell="A5"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92" t="s">
        <v>58</v>
      </c>
      <c r="C5" s="592"/>
      <c r="D5" s="592"/>
      <c r="E5" s="592"/>
      <c r="F5" s="592"/>
      <c r="G5" s="592"/>
      <c r="H5" s="592"/>
      <c r="I5" s="592"/>
      <c r="J5" s="592"/>
      <c r="K5" s="592"/>
      <c r="L5" s="592"/>
      <c r="M5" s="592"/>
      <c r="N5" s="592"/>
      <c r="O5" s="592"/>
      <c r="P5" s="592"/>
      <c r="Q5" s="592"/>
      <c r="R5" s="592"/>
      <c r="S5" s="592"/>
      <c r="T5" s="592"/>
      <c r="U5" s="592"/>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1" t="s">
        <v>2743</v>
      </c>
      <c r="C8" s="422"/>
      <c r="D8" s="422"/>
      <c r="E8" s="422"/>
      <c r="F8" s="422"/>
      <c r="G8" s="422"/>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3" t="s">
        <v>21</v>
      </c>
      <c r="C15" s="214"/>
      <c r="D15" s="214"/>
      <c r="E15" s="214"/>
      <c r="F15" s="214"/>
      <c r="G15" s="214"/>
      <c r="H15" s="214"/>
      <c r="I15" s="214"/>
      <c r="J15" s="214"/>
      <c r="K15" s="214"/>
      <c r="L15" s="214"/>
      <c r="M15" s="215"/>
      <c r="N15" s="18"/>
      <c r="O15" s="18"/>
      <c r="P15" s="18"/>
      <c r="Q15" s="18"/>
    </row>
    <row r="16" spans="2:21" ht="15" x14ac:dyDescent="0.25">
      <c r="B16" s="216" t="s">
        <v>25</v>
      </c>
      <c r="C16" s="138"/>
      <c r="D16" s="138"/>
      <c r="E16" s="138"/>
      <c r="F16" s="138"/>
      <c r="G16" s="138"/>
      <c r="H16" s="138"/>
      <c r="I16" s="138"/>
      <c r="J16" s="138"/>
      <c r="K16" s="138"/>
      <c r="L16" s="138"/>
      <c r="M16" s="217"/>
      <c r="N16" s="18"/>
      <c r="O16" s="18"/>
      <c r="P16" s="18"/>
      <c r="Q16" s="18"/>
    </row>
    <row r="17" spans="2:17" ht="15" x14ac:dyDescent="0.25">
      <c r="B17" s="218" t="s">
        <v>22</v>
      </c>
      <c r="C17" s="138"/>
      <c r="D17" s="138"/>
      <c r="E17" s="138"/>
      <c r="F17" s="138"/>
      <c r="G17" s="138"/>
      <c r="H17" s="138"/>
      <c r="I17" s="138"/>
      <c r="J17" s="138"/>
      <c r="K17" s="138"/>
      <c r="L17" s="138"/>
      <c r="M17" s="217"/>
      <c r="N17" s="18"/>
      <c r="O17" s="18"/>
      <c r="P17" s="18"/>
      <c r="Q17" s="18"/>
    </row>
    <row r="18" spans="2:17" ht="15" x14ac:dyDescent="0.25">
      <c r="B18" s="219" t="s">
        <v>23</v>
      </c>
      <c r="C18" s="220"/>
      <c r="D18" s="220"/>
      <c r="E18" s="220"/>
      <c r="F18" s="220"/>
      <c r="G18" s="220"/>
      <c r="H18" s="220"/>
      <c r="I18" s="220"/>
      <c r="J18" s="220"/>
      <c r="K18" s="220"/>
      <c r="L18" s="220"/>
      <c r="M18" s="221"/>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09" t="s">
        <v>719</v>
      </c>
      <c r="C46" s="209" t="s">
        <v>717</v>
      </c>
      <c r="D46" s="209" t="s">
        <v>718</v>
      </c>
      <c r="E46" s="18"/>
      <c r="F46" s="18"/>
      <c r="G46" s="18"/>
      <c r="H46" s="18"/>
      <c r="I46" s="18"/>
      <c r="J46" s="18"/>
      <c r="K46" s="18"/>
      <c r="L46" s="18"/>
      <c r="M46" s="18"/>
      <c r="N46" s="18"/>
      <c r="O46" s="18"/>
      <c r="P46" s="18"/>
      <c r="Q46" s="18"/>
    </row>
    <row r="47" spans="2:21" ht="15" x14ac:dyDescent="0.25">
      <c r="B47" s="212" t="s">
        <v>702</v>
      </c>
      <c r="C47" s="210">
        <f>--(VLOOKUP( 66, Lookup_BSa,5, 0) = VLOOKUP( 169, Lookup_BSp, 5, 0))</f>
        <v>1</v>
      </c>
      <c r="D47" s="210">
        <f>--(VLOOKUP( 66, Lookup_BSa, 6, 0) = VLOOKUP( 169, Lookup_BSp, 6, 0))</f>
        <v>1</v>
      </c>
      <c r="E47" s="208" t="s">
        <v>2883</v>
      </c>
      <c r="F47" s="18"/>
      <c r="G47" s="18"/>
      <c r="H47" s="18"/>
      <c r="I47" s="18"/>
      <c r="J47" s="18"/>
      <c r="K47" s="18"/>
      <c r="L47" s="18"/>
      <c r="O47" s="18"/>
      <c r="P47" s="18"/>
      <c r="Q47" s="18"/>
      <c r="S47" s="18"/>
      <c r="T47" s="18"/>
      <c r="U47" s="18"/>
    </row>
    <row r="48" spans="2:21" ht="15" x14ac:dyDescent="0.25">
      <c r="B48" s="212" t="s">
        <v>703</v>
      </c>
      <c r="C48" s="210">
        <f>--(VLOOKUP( 67, Lookup_BSa, 5, 0) = VLOOKUP( 170, Lookup_BSp, 5, 0))</f>
        <v>1</v>
      </c>
      <c r="D48" s="210">
        <f>--(VLOOKUP( 67, Lookup_BSa, 6, 0) = VLOOKUP( 170, Lookup_BSp, 6, 0))</f>
        <v>1</v>
      </c>
      <c r="E48" s="208" t="s">
        <v>2884</v>
      </c>
      <c r="F48" s="18"/>
      <c r="G48" s="18"/>
      <c r="H48" s="18"/>
      <c r="I48" s="18"/>
      <c r="J48" s="18"/>
      <c r="K48" s="18"/>
      <c r="L48" s="18"/>
      <c r="O48" s="18"/>
      <c r="P48" s="18"/>
      <c r="Q48" s="18"/>
      <c r="S48" s="18"/>
      <c r="T48" s="18"/>
      <c r="U48" s="18"/>
    </row>
    <row r="49" spans="1:21" ht="15" x14ac:dyDescent="0.25">
      <c r="B49" s="212" t="s">
        <v>704</v>
      </c>
      <c r="C49" s="210">
        <f>--(VLOOKUP( 316, Lookup_BUa,3, 0) = VLOOKUP( 126, Lookup_BSp, 5, 0))</f>
        <v>1</v>
      </c>
      <c r="D49" s="210" t="str">
        <f>IF(ID_Izvjestaj=4,--(VLOOKUP( 316, Lookup_BUa,4, 0) = VLOOKUP( 126, Lookup_BSp, 6, 0)),"")</f>
        <v/>
      </c>
      <c r="E49" s="208" t="s">
        <v>2885</v>
      </c>
      <c r="F49" s="18"/>
      <c r="G49" s="18"/>
      <c r="H49" s="18"/>
      <c r="I49" s="18"/>
      <c r="J49" s="18"/>
      <c r="K49" s="18"/>
      <c r="L49" s="18"/>
      <c r="O49" s="18"/>
      <c r="P49" s="18"/>
      <c r="Q49" s="18"/>
      <c r="S49" s="18"/>
      <c r="T49" s="18"/>
      <c r="U49" s="18"/>
    </row>
    <row r="50" spans="1:21" ht="15" x14ac:dyDescent="0.25">
      <c r="B50" s="212" t="s">
        <v>705</v>
      </c>
      <c r="C50" s="210">
        <f>--(VLOOKUP( 317, Lookup_BUa,3, 0) = VLOOKUP( 130, Lookup_BSp, 5, 0))</f>
        <v>1</v>
      </c>
      <c r="D50" s="210" t="str">
        <f>IF(ID_Izvjestaj=4,--(VLOOKUP( 317, Lookup_BUa,4, 0) = VLOOKUP( 130, Lookup_BSp, 6, 0)),"")</f>
        <v/>
      </c>
      <c r="E50" s="208" t="s">
        <v>2886</v>
      </c>
      <c r="F50" s="18"/>
      <c r="G50" s="18"/>
      <c r="H50" s="18"/>
      <c r="I50" s="18"/>
      <c r="J50" s="18"/>
      <c r="K50" s="18"/>
      <c r="L50" s="18"/>
      <c r="O50" s="18"/>
      <c r="P50" s="18"/>
      <c r="Q50" s="18"/>
      <c r="S50" s="18"/>
      <c r="T50" s="18"/>
      <c r="U50" s="18"/>
    </row>
    <row r="51" spans="1:21" ht="15" x14ac:dyDescent="0.25">
      <c r="B51" s="212" t="s">
        <v>706</v>
      </c>
      <c r="C51" s="210">
        <f>--(VLOOKUP( 568, Lookup_BTG, 3, 0) = VLOOKUP( 61, Lookup_BSa, 5, 0))</f>
        <v>1</v>
      </c>
      <c r="D51" s="210" t="str">
        <f>IF(ID_Izvjestaj=4,--(VLOOKUP( 568, Lookup_BTG, 4, 0) = VLOOKUP( 61, Lookup_BSa, 6, 0)),"")</f>
        <v/>
      </c>
      <c r="E51" s="208" t="s">
        <v>2887</v>
      </c>
      <c r="F51" s="18"/>
      <c r="G51" s="18"/>
      <c r="H51" s="18"/>
      <c r="I51" s="18"/>
      <c r="J51" s="18"/>
      <c r="K51" s="18"/>
      <c r="L51" s="18"/>
      <c r="O51" s="18"/>
      <c r="P51" s="18"/>
      <c r="Q51" s="18"/>
      <c r="S51" s="18"/>
      <c r="T51" s="18"/>
      <c r="U51" s="18"/>
    </row>
    <row r="52" spans="1:21" ht="15" x14ac:dyDescent="0.25">
      <c r="B52" s="212" t="s">
        <v>707</v>
      </c>
      <c r="C52" s="211"/>
      <c r="D52" s="210">
        <f>--( IF( VLOOKUP( 101, Lookup_BSp, 6, 0) &gt; 0, VLOOKUP( 913, Lookup_BPK,  9, 0) = VLOOKUP( 101, Lookup_BSp, 6, 0), TRUE))</f>
        <v>1</v>
      </c>
      <c r="E52" s="208" t="s">
        <v>2891</v>
      </c>
      <c r="F52" s="18"/>
      <c r="G52" s="18"/>
      <c r="H52" s="18"/>
      <c r="I52" s="18"/>
      <c r="J52" s="18"/>
      <c r="K52" s="18"/>
      <c r="L52" s="18"/>
      <c r="O52" s="18"/>
      <c r="P52" s="18"/>
      <c r="Q52" s="18"/>
      <c r="S52" s="18"/>
      <c r="T52" s="18"/>
      <c r="U52" s="18"/>
    </row>
    <row r="53" spans="1:21" ht="15" x14ac:dyDescent="0.25">
      <c r="B53" s="212" t="s">
        <v>708</v>
      </c>
      <c r="C53" s="210">
        <f>--( IF( VLOOKUP( 101, Lookup_BSp, 5, 0) &gt; 0, VLOOKUP( 925, Lookup_BPK, 9, 0) = VLOOKUP( 101, Lookup_BSp, 5, 0), TRUE))</f>
        <v>1</v>
      </c>
      <c r="D53" s="210"/>
      <c r="E53" s="208"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sheet="1" selectLockedCells="1" selectUnlockedCells="1"/>
  <mergeCells count="1">
    <mergeCell ref="B5:U5"/>
  </mergeCells>
  <phoneticPr fontId="2" type="noConversion"/>
  <conditionalFormatting sqref="C47:D53">
    <cfRule type="expression" dxfId="229"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SheetLayoutView="100" workbookViewId="0">
      <pane xSplit="1" ySplit="6" topLeftCell="B7" activePane="bottomRight" state="frozen"/>
      <selection activeCell="S33" sqref="S33"/>
      <selection pane="topRight" activeCell="S33" sqref="S33"/>
      <selection pane="bottomLeft" activeCell="S33" sqref="S33"/>
      <selection pane="bottomRight" activeCell="G15" sqref="G15"/>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593">
        <v>1</v>
      </c>
      <c r="E8" s="593"/>
      <c r="F8" s="44"/>
      <c r="G8" s="593">
        <v>1</v>
      </c>
      <c r="H8" s="593"/>
      <c r="I8" s="44"/>
      <c r="J8" s="596">
        <v>2024</v>
      </c>
      <c r="K8" s="597"/>
      <c r="L8" s="598"/>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599"/>
      <c r="K9" s="600"/>
      <c r="L9" s="601"/>
      <c r="Y9" s="14"/>
      <c r="Z9" s="14"/>
      <c r="AA9" s="96"/>
      <c r="AB9" s="93"/>
    </row>
    <row r="10" spans="2:31" ht="15.75" customHeight="1" thickBot="1" x14ac:dyDescent="0.25">
      <c r="B10" s="85" t="str">
        <f>Osnovno_Kraj_perioda</f>
        <v>Kraj izvještajnog perioda:</v>
      </c>
      <c r="D10" s="594">
        <v>30</v>
      </c>
      <c r="E10" s="595"/>
      <c r="F10" s="44"/>
      <c r="G10" s="594">
        <v>9</v>
      </c>
      <c r="H10" s="595"/>
      <c r="I10" s="44"/>
      <c r="J10" s="602"/>
      <c r="K10" s="603"/>
      <c r="L10" s="604"/>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30.09.2024.</v>
      </c>
      <c r="AB10" s="92" t="str">
        <f>IF(Y10, IF( Z10, AA10, Kontrola_Neispravno), Kontrola_Obavezno)</f>
        <v>30.09.2024.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Treći kvartal</v>
      </c>
      <c r="E12" s="167"/>
      <c r="F12" s="167"/>
      <c r="G12" s="167"/>
      <c r="H12" s="167"/>
      <c r="I12" s="167"/>
      <c r="J12" s="167"/>
      <c r="K12" s="167"/>
      <c r="L12" s="167"/>
      <c r="M12"/>
      <c r="N12"/>
      <c r="O12"/>
      <c r="P12"/>
      <c r="Q12"/>
      <c r="R12"/>
      <c r="S12"/>
      <c r="T12"/>
      <c r="U12"/>
      <c r="V12"/>
      <c r="Y12" s="14"/>
      <c r="Z12" s="14"/>
      <c r="AA12" s="86"/>
      <c r="AB12" s="92" t="str">
        <f>D12</f>
        <v>Treći kvartal</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573">
        <v>0</v>
      </c>
      <c r="E15" s="573">
        <v>1</v>
      </c>
      <c r="F15" s="573">
        <v>8</v>
      </c>
      <c r="G15" s="573">
        <v>1</v>
      </c>
      <c r="H15" s="573">
        <v>4</v>
      </c>
      <c r="I15" s="573">
        <v>7</v>
      </c>
      <c r="J15" s="573">
        <v>8</v>
      </c>
      <c r="K15" s="573">
        <v>8</v>
      </c>
      <c r="Y15" s="14" t="b">
        <f>LEN(AA15) &gt;= 7</f>
        <v>1</v>
      </c>
      <c r="Z15" s="14" t="b">
        <v>1</v>
      </c>
      <c r="AA15" s="96" t="str">
        <f>CONCATENATE( D15, E15, F15, G15, H15, I15, J15, K15)</f>
        <v>01814788</v>
      </c>
      <c r="AB15" s="92" t="str">
        <f>IF(Y15, IF( Z15, AA15, Kontrola_Neispravno), Kontrola_Obavezno)</f>
        <v>01814788</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5" customHeight="1" x14ac:dyDescent="0.2">
      <c r="B18" s="85"/>
      <c r="Y18" s="14"/>
      <c r="Z18" s="14"/>
      <c r="AA18" s="96"/>
      <c r="AB18" s="93"/>
    </row>
    <row r="19" spans="2:31" ht="12.75" customHeight="1" x14ac:dyDescent="0.2">
      <c r="B19" s="605" t="str">
        <f>Zaglavlje_Naziv_preduzeca</f>
        <v xml:space="preserve">Naziv privrednog društva, zadruge, drugog pravnog lica ili preduzetnika: </v>
      </c>
      <c r="Y19" s="14"/>
      <c r="Z19" s="14"/>
      <c r="AA19" s="96"/>
      <c r="AB19" s="93"/>
    </row>
    <row r="20" spans="2:31" ht="22.5" customHeight="1" x14ac:dyDescent="0.2">
      <c r="B20" s="605"/>
      <c r="D20" s="606" t="s">
        <v>3074</v>
      </c>
      <c r="E20" s="606"/>
      <c r="F20" s="606"/>
      <c r="G20" s="606"/>
      <c r="H20" s="606"/>
      <c r="I20" s="606"/>
      <c r="J20" s="606"/>
      <c r="K20" s="606"/>
      <c r="L20" s="606"/>
      <c r="M20" s="606"/>
      <c r="N20" s="606"/>
      <c r="O20" s="606"/>
      <c r="P20" s="606"/>
      <c r="Q20" s="606"/>
      <c r="R20" s="606"/>
      <c r="S20" s="606"/>
      <c r="T20" s="606"/>
      <c r="U20" s="606"/>
      <c r="V20" s="606"/>
      <c r="Y20" s="14" t="b">
        <f>LEN(AA20) &gt; 0</f>
        <v>1</v>
      </c>
      <c r="Z20" s="14" t="b">
        <v>1</v>
      </c>
      <c r="AA20" s="96" t="str">
        <f>CONCATENATE( D20)</f>
        <v>Elektrodistribucija a.d. Pale</v>
      </c>
      <c r="AB20" s="94" t="str">
        <f>IF(Y20, IF( Z20, AA20, Kontrola_Neispravno), Kontrola_Obavezno)</f>
        <v>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612" t="s">
        <v>3075</v>
      </c>
      <c r="E22" s="613"/>
      <c r="F22" s="613"/>
      <c r="G22" s="613"/>
      <c r="H22" s="613"/>
      <c r="I22" s="613"/>
      <c r="J22" s="613"/>
      <c r="K22" s="613"/>
      <c r="L22" s="613"/>
      <c r="M22" s="613"/>
      <c r="N22" s="613"/>
      <c r="O22" s="613"/>
      <c r="P22" s="613"/>
      <c r="Q22" s="613"/>
      <c r="R22" s="613"/>
      <c r="S22" s="613"/>
      <c r="T22" s="613"/>
      <c r="U22" s="613"/>
      <c r="V22" s="613"/>
      <c r="Y22" s="14" t="b">
        <f>LEN(AA22) &gt; 0</f>
        <v>1</v>
      </c>
      <c r="Z22" s="14" t="b">
        <v>1</v>
      </c>
      <c r="AA22" s="96" t="str">
        <f>CONCATENATE( D22)</f>
        <v>Pale</v>
      </c>
      <c r="AB22" s="92" t="str">
        <f>IF(Y22, IF( Z22, AA22, Kontrola_Neispravno), Kontrola_Obavezno)</f>
        <v>Pale</v>
      </c>
    </row>
    <row r="23" spans="2:31" ht="6.75" customHeight="1" x14ac:dyDescent="0.2">
      <c r="B23" s="85"/>
      <c r="Y23" s="14"/>
      <c r="Z23" s="14"/>
      <c r="AA23" s="96"/>
      <c r="AB23" s="93"/>
    </row>
    <row r="24" spans="2:31" ht="15" customHeight="1" x14ac:dyDescent="0.2">
      <c r="B24" s="85" t="str">
        <f>Zaglavlje_JIB</f>
        <v>JIB</v>
      </c>
      <c r="D24" s="570">
        <v>4</v>
      </c>
      <c r="E24" s="571">
        <v>4</v>
      </c>
      <c r="F24" s="572">
        <v>0</v>
      </c>
      <c r="G24" s="570">
        <v>0</v>
      </c>
      <c r="H24" s="571">
        <v>5</v>
      </c>
      <c r="I24" s="572">
        <v>7</v>
      </c>
      <c r="J24" s="570">
        <v>0</v>
      </c>
      <c r="K24" s="571">
        <v>0</v>
      </c>
      <c r="L24" s="572">
        <v>5</v>
      </c>
      <c r="M24" s="571">
        <v>0</v>
      </c>
      <c r="N24" s="572">
        <v>0</v>
      </c>
      <c r="O24" s="571">
        <v>0</v>
      </c>
      <c r="P24" s="572">
        <v>4</v>
      </c>
      <c r="Q24" s="44"/>
      <c r="R24" s="44"/>
      <c r="S24" s="44"/>
      <c r="T24" s="44"/>
      <c r="U24" s="44"/>
      <c r="V24" s="44"/>
      <c r="Y24" s="14" t="b">
        <f>LEN(AA24) = 13</f>
        <v>1</v>
      </c>
      <c r="Z24" s="206"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573">
        <v>5</v>
      </c>
      <c r="E27" s="573">
        <v>6</v>
      </c>
      <c r="F27" s="573">
        <v>2</v>
      </c>
      <c r="G27" s="84" t="s">
        <v>399</v>
      </c>
      <c r="H27" s="573">
        <v>0</v>
      </c>
      <c r="I27" s="573">
        <v>1</v>
      </c>
      <c r="J27" s="573">
        <v>2</v>
      </c>
      <c r="K27" s="84" t="s">
        <v>399</v>
      </c>
      <c r="L27" s="573">
        <v>0</v>
      </c>
      <c r="M27" s="573">
        <v>0</v>
      </c>
      <c r="N27" s="573">
        <v>0</v>
      </c>
      <c r="O27" s="573">
        <v>0</v>
      </c>
      <c r="P27" s="573">
        <v>2</v>
      </c>
      <c r="Q27" s="573">
        <v>6</v>
      </c>
      <c r="R27" s="573">
        <v>6</v>
      </c>
      <c r="S27" s="573">
        <v>9</v>
      </c>
      <c r="T27" s="44" t="s">
        <v>399</v>
      </c>
      <c r="U27" s="574">
        <v>4</v>
      </c>
      <c r="V27" s="574">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574">
        <v>5</v>
      </c>
      <c r="E29" s="574">
        <v>5</v>
      </c>
      <c r="F29" s="574">
        <v>5</v>
      </c>
      <c r="G29" s="84" t="s">
        <v>399</v>
      </c>
      <c r="H29" s="573">
        <v>0</v>
      </c>
      <c r="I29" s="573">
        <v>0</v>
      </c>
      <c r="J29" s="573">
        <v>2</v>
      </c>
      <c r="K29" s="84" t="s">
        <v>399</v>
      </c>
      <c r="L29" s="573">
        <v>0</v>
      </c>
      <c r="M29" s="573">
        <v>0</v>
      </c>
      <c r="N29" s="573">
        <v>0</v>
      </c>
      <c r="O29" s="573">
        <v>0</v>
      </c>
      <c r="P29" s="573">
        <v>4</v>
      </c>
      <c r="Q29" s="573">
        <v>3</v>
      </c>
      <c r="R29" s="573">
        <v>6</v>
      </c>
      <c r="S29" s="573">
        <v>3</v>
      </c>
      <c r="T29" s="44" t="s">
        <v>399</v>
      </c>
      <c r="U29" s="574">
        <v>2</v>
      </c>
      <c r="V29" s="574">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5" customHeight="1" x14ac:dyDescent="0.2">
      <c r="B30" s="85"/>
      <c r="Y30" s="14"/>
      <c r="Z30" s="14"/>
      <c r="AA30" s="96"/>
      <c r="AB30" s="93"/>
    </row>
    <row r="31" spans="2:31" ht="15" customHeight="1" x14ac:dyDescent="0.2">
      <c r="B31" s="85"/>
      <c r="D31" s="573">
        <v>5</v>
      </c>
      <c r="E31" s="573">
        <v>6</v>
      </c>
      <c r="F31" s="573">
        <v>7</v>
      </c>
      <c r="G31" s="84" t="s">
        <v>399</v>
      </c>
      <c r="H31" s="573">
        <v>4</v>
      </c>
      <c r="I31" s="573">
        <v>9</v>
      </c>
      <c r="J31" s="573">
        <v>1</v>
      </c>
      <c r="K31" s="84" t="s">
        <v>399</v>
      </c>
      <c r="L31" s="573">
        <v>1</v>
      </c>
      <c r="M31" s="573">
        <v>0</v>
      </c>
      <c r="N31" s="573">
        <v>0</v>
      </c>
      <c r="O31" s="573">
        <v>0</v>
      </c>
      <c r="P31" s="573">
        <v>0</v>
      </c>
      <c r="Q31" s="573">
        <v>0</v>
      </c>
      <c r="R31" s="573">
        <v>0</v>
      </c>
      <c r="S31" s="573">
        <v>2</v>
      </c>
      <c r="T31" s="44" t="s">
        <v>399</v>
      </c>
      <c r="U31" s="83">
        <v>8</v>
      </c>
      <c r="V31" s="83">
        <v>6</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5674911000000286</v>
      </c>
      <c r="AB31" s="92" t="str">
        <f>IF( LEN(AA31) = 0, "", IF( AND( LEN(AA31) = 16, Z31), CONCATENATE( D31, E31, F31, G31, H31, I31, J31, K31, L31, M31, N31, O31, P31, Q31, R31, S31, T31, U31, V31), Kontrola_Neispravno))</f>
        <v>567-491-10000002-86</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610"/>
      <c r="E40" s="611"/>
      <c r="F40" s="611"/>
      <c r="G40" s="611"/>
      <c r="H40" s="611"/>
      <c r="I40" s="611"/>
      <c r="J40" s="611"/>
      <c r="K40" s="611"/>
      <c r="L40" s="611"/>
      <c r="M40" s="611"/>
      <c r="N40" s="611"/>
      <c r="O40" s="611"/>
      <c r="P40" s="611"/>
      <c r="Q40" s="611"/>
      <c r="R40" s="611"/>
      <c r="S40" s="611"/>
      <c r="T40" s="611"/>
      <c r="U40" s="611"/>
      <c r="V40" s="611"/>
      <c r="Y40" s="14" t="b">
        <f>LEN(AA40) &gt; 0</f>
        <v>0</v>
      </c>
      <c r="Z40" s="14" t="b">
        <v>1</v>
      </c>
      <c r="AA40" s="96" t="str">
        <f>CONCATENATE( D40)</f>
        <v/>
      </c>
      <c r="AB40" s="94" t="str">
        <f>IF(Y40, IF( Z40, AA40, Kontrola_Neispravno), Kontrola_Obavezno)</f>
        <v>Obavezan unos podataka u formi!</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607">
        <v>31</v>
      </c>
      <c r="E43" s="609"/>
      <c r="F43" s="44"/>
      <c r="G43" s="607">
        <v>10</v>
      </c>
      <c r="H43" s="609"/>
      <c r="I43" s="44"/>
      <c r="J43" s="607">
        <v>2024</v>
      </c>
      <c r="K43" s="608"/>
      <c r="L43" s="609"/>
      <c r="M43"/>
      <c r="Y43" s="14" t="b">
        <f>AND( D43 &lt;&gt; "", G43 &lt;&gt; "", J43 &lt;&gt; "")</f>
        <v>1</v>
      </c>
      <c r="Z43" s="44" t="b">
        <f>IF( Y43, TEXT( DATE( J43, G43, D43), "dd.mm.yyyy" ) = TEXT( D43, "00") &amp; "." &amp; TEXT( G43, "00") &amp;"." &amp; CONCATENATE( J43), FALSE)</f>
        <v>1</v>
      </c>
      <c r="AA43" s="86" t="str">
        <f>IF( OR( Y43, Z43), TEXT( DATE( J43, G43, D43), "dd.mm.yyyy."), "")</f>
        <v>31.10.2024.</v>
      </c>
      <c r="AB43" s="94" t="str">
        <f>IF(Y43, IF( Z43, AA43, Kontrola_Neispravno), Kontrola_Obavezno)</f>
        <v>31.10.2024.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610" t="s">
        <v>3077</v>
      </c>
      <c r="E45" s="611"/>
      <c r="F45" s="611"/>
      <c r="G45" s="611"/>
      <c r="H45" s="611"/>
      <c r="I45" s="611"/>
      <c r="J45" s="611"/>
      <c r="K45" s="611"/>
      <c r="L45" s="611"/>
      <c r="M45" s="611"/>
      <c r="N45" s="611"/>
      <c r="O45" s="611"/>
      <c r="P45" s="611"/>
      <c r="Q45" s="611"/>
      <c r="R45" s="611"/>
      <c r="S45" s="611"/>
      <c r="T45" s="611"/>
      <c r="U45" s="611"/>
      <c r="V45" s="611"/>
      <c r="Y45" s="14" t="b">
        <f>LEN(AA45) &gt; 0</f>
        <v>1</v>
      </c>
      <c r="Z45" s="14" t="b">
        <v>1</v>
      </c>
      <c r="AA45" s="96" t="str">
        <f>CONCATENATE( D45)</f>
        <v>Slobodan Butulija</v>
      </c>
      <c r="AB45" s="94" t="str">
        <f>IF(Y45, IF( Z45, AA45, Kontrola_Neispravno), Kontrola_Obavezno)</f>
        <v>Slobodan Butulija</v>
      </c>
    </row>
    <row r="46" spans="2:28" ht="4.5" customHeight="1" x14ac:dyDescent="0.2">
      <c r="B46" s="85"/>
      <c r="Y46" s="14"/>
      <c r="Z46" s="14"/>
      <c r="AA46" s="96"/>
      <c r="AB46" s="93"/>
    </row>
    <row r="47" spans="2:28" ht="15" customHeight="1" x14ac:dyDescent="0.2">
      <c r="B47" s="85" t="str">
        <f>Podnozje_Broj_licence</f>
        <v>Broj licence:</v>
      </c>
      <c r="D47" s="610" t="s">
        <v>3078</v>
      </c>
      <c r="E47" s="611"/>
      <c r="F47" s="611"/>
      <c r="G47" s="611"/>
      <c r="H47" s="611"/>
      <c r="I47" s="611"/>
      <c r="J47" s="611"/>
      <c r="K47" s="611"/>
      <c r="L47" s="611"/>
      <c r="M47" s="611"/>
      <c r="N47" s="611"/>
      <c r="O47" s="611"/>
      <c r="P47" s="611"/>
      <c r="Q47" s="611"/>
      <c r="R47" s="611"/>
      <c r="S47" s="611"/>
      <c r="T47" s="611"/>
      <c r="U47" s="611"/>
      <c r="V47" s="611"/>
      <c r="Y47" s="14" t="b">
        <f>LEN(AA47) &gt; 0</f>
        <v>1</v>
      </c>
      <c r="Z47" s="14" t="b">
        <v>1</v>
      </c>
      <c r="AA47" s="96" t="str">
        <f>CONCATENATE( D47)</f>
        <v>0029/24</v>
      </c>
      <c r="AB47" s="94" t="str">
        <f>IF(Y47, IF( Z47, AA47, Kontrola_Neispravno), Kontrola_Obavezno)</f>
        <v>0029/24</v>
      </c>
    </row>
    <row r="48" spans="2:28" ht="4.5" customHeight="1" x14ac:dyDescent="0.2">
      <c r="B48" s="85"/>
      <c r="Y48" s="14"/>
      <c r="Z48" s="14"/>
      <c r="AA48" s="96"/>
      <c r="AB48" s="93"/>
    </row>
    <row r="49" spans="2:28" ht="15" customHeight="1" x14ac:dyDescent="0.2">
      <c r="B49" s="116" t="str">
        <f>Podnozje_Direktor</f>
        <v>Lice ovlašćeno za zastupanje:</v>
      </c>
      <c r="D49" s="610" t="s">
        <v>3079</v>
      </c>
      <c r="E49" s="611"/>
      <c r="F49" s="611"/>
      <c r="G49" s="611"/>
      <c r="H49" s="611"/>
      <c r="I49" s="611"/>
      <c r="J49" s="611"/>
      <c r="K49" s="611"/>
      <c r="L49" s="611"/>
      <c r="M49" s="611"/>
      <c r="N49" s="611"/>
      <c r="O49" s="611"/>
      <c r="P49" s="611"/>
      <c r="Q49" s="611"/>
      <c r="R49" s="611"/>
      <c r="S49" s="611"/>
      <c r="T49" s="611"/>
      <c r="U49" s="611"/>
      <c r="V49" s="611"/>
      <c r="Y49" s="14" t="b">
        <f>LEN(AA49) &gt; 0</f>
        <v>1</v>
      </c>
      <c r="Z49" s="14" t="b">
        <v>1</v>
      </c>
      <c r="AA49" s="96" t="str">
        <f>CONCATENATE( D49)</f>
        <v>Aco Stanišić ma. ecc</v>
      </c>
      <c r="AB49" s="94" t="str">
        <f>IF(Y49, IF( Z49, AA49, Kontrola_Neispravno), Kontrola_Obavezno)</f>
        <v>Aco Stanišić ma. ecc</v>
      </c>
    </row>
    <row r="50" spans="2:28" ht="15" customHeight="1" x14ac:dyDescent="0.2">
      <c r="B50" s="47"/>
      <c r="Y50" s="14"/>
      <c r="Z50" s="14"/>
      <c r="AA50" s="96"/>
      <c r="AB50" s="93"/>
    </row>
    <row r="51" spans="2:28" ht="15.75" customHeight="1" x14ac:dyDescent="0.2">
      <c r="B51" s="433" t="str" cm="1">
        <f t="array" ref="B51">Objasnjenja_Kontakt</f>
        <v>Kontakt podaci:</v>
      </c>
      <c r="Y51" s="14"/>
      <c r="Z51" s="14"/>
      <c r="AA51" s="96"/>
      <c r="AB51" s="93"/>
    </row>
    <row r="52" spans="2:28" ht="15" customHeight="1" x14ac:dyDescent="0.2">
      <c r="B52" s="85" t="str">
        <f>Kontakt_Adresa</f>
        <v>Adresa i broj:</v>
      </c>
      <c r="D52" s="610" t="s">
        <v>3080</v>
      </c>
      <c r="E52" s="611"/>
      <c r="F52" s="611"/>
      <c r="G52" s="611"/>
      <c r="H52" s="611"/>
      <c r="I52" s="611"/>
      <c r="J52" s="611"/>
      <c r="K52" s="611"/>
      <c r="L52" s="611"/>
      <c r="M52" s="611"/>
      <c r="N52" s="611"/>
      <c r="O52" s="611"/>
      <c r="P52" s="611"/>
      <c r="Q52" s="611"/>
      <c r="R52" s="611"/>
      <c r="S52" s="611"/>
      <c r="T52" s="611"/>
      <c r="U52" s="611"/>
      <c r="V52" s="611"/>
      <c r="Y52" s="14" t="b">
        <f>LEN(AA52) &gt; 0</f>
        <v>1</v>
      </c>
      <c r="Z52" s="14" t="b">
        <v>1</v>
      </c>
      <c r="AA52" s="96" t="str">
        <f>CONCATENATE( D52)</f>
        <v>Nikole Tesle 12</v>
      </c>
      <c r="AB52" s="94" t="str">
        <f>IF(Y52, IF( Z52, AA52, Kontrola_Neispravno), Kontrola_Obavezno)</f>
        <v>Nikole Tesle 12</v>
      </c>
    </row>
    <row r="53" spans="2:28" ht="4.5" customHeight="1" x14ac:dyDescent="0.2">
      <c r="B53" s="47"/>
      <c r="Y53" s="14"/>
      <c r="Z53" s="14"/>
      <c r="AA53" s="96"/>
      <c r="AB53" s="93"/>
    </row>
    <row r="54" spans="2:28" ht="15" customHeight="1" x14ac:dyDescent="0.2">
      <c r="B54" s="85" t="str">
        <f>Kontakt_web</f>
        <v>Internet adresa:</v>
      </c>
      <c r="D54" s="610" t="s">
        <v>3081</v>
      </c>
      <c r="E54" s="611"/>
      <c r="F54" s="611"/>
      <c r="G54" s="611"/>
      <c r="H54" s="611"/>
      <c r="I54" s="611"/>
      <c r="J54" s="611"/>
      <c r="K54" s="611"/>
      <c r="L54" s="611"/>
      <c r="M54" s="611"/>
      <c r="N54" s="611"/>
      <c r="O54" s="611"/>
      <c r="P54" s="611"/>
      <c r="Q54" s="611"/>
      <c r="R54" s="611"/>
      <c r="S54" s="611"/>
      <c r="T54" s="611"/>
      <c r="U54" s="611"/>
      <c r="V54" s="611"/>
      <c r="Y54" s="14" t="b">
        <f>LEN(AA54) &gt;= 0</f>
        <v>1</v>
      </c>
      <c r="Z54" s="14" t="b">
        <v>1</v>
      </c>
      <c r="AA54" s="96" t="str">
        <f>CONCATENATE( D54)</f>
        <v>www.edbpale.com</v>
      </c>
      <c r="AB54" s="94" t="str">
        <f>IF(Y54, IF( Z54, AA54, Kontrola_Neispravno), Kontrola_Obavezno)</f>
        <v>www.edbpale.com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610" t="s">
        <v>3082</v>
      </c>
      <c r="E56" s="611"/>
      <c r="F56" s="611"/>
      <c r="G56" s="611"/>
      <c r="H56" s="611"/>
      <c r="I56" s="611"/>
      <c r="J56" s="611"/>
      <c r="K56" s="611"/>
      <c r="L56" s="611"/>
      <c r="M56" s="611"/>
      <c r="N56" s="611"/>
      <c r="O56" s="611"/>
      <c r="P56" s="611"/>
      <c r="Q56" s="611"/>
      <c r="R56" s="611"/>
      <c r="S56" s="611"/>
      <c r="T56" s="611"/>
      <c r="U56" s="611"/>
      <c r="V56" s="611"/>
      <c r="Y56" s="14" t="b">
        <f>LEN(AA56) &gt; 0</f>
        <v>1</v>
      </c>
      <c r="Z56" s="14" t="b">
        <v>1</v>
      </c>
      <c r="AA56" s="96" t="str">
        <f>CONCATENATE(D56)</f>
        <v>uprava@edbpale.com</v>
      </c>
      <c r="AB56" s="94" t="str">
        <f>IF(Y56, IF( Z56, AA56, Kontrola_Neispravno), Kontrola_Obavezno)</f>
        <v>uprava@edbpale.com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7"/>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605"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605"/>
      <c r="C70" s="9"/>
      <c r="D70" s="611"/>
      <c r="E70" s="611"/>
      <c r="F70" s="611"/>
      <c r="G70" s="611"/>
      <c r="H70" s="611"/>
      <c r="I70" s="611"/>
      <c r="J70" s="611"/>
      <c r="K70" s="611"/>
      <c r="L70" s="611"/>
      <c r="M70" s="611"/>
      <c r="N70" s="611"/>
      <c r="O70" s="611"/>
      <c r="P70" s="611"/>
      <c r="Q70" s="611"/>
      <c r="R70" s="611"/>
      <c r="S70" s="611"/>
      <c r="T70" s="611"/>
      <c r="U70" s="611"/>
      <c r="V70" s="611"/>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611"/>
      <c r="E72" s="611"/>
      <c r="F72" s="611"/>
      <c r="G72" s="611"/>
      <c r="H72" s="611"/>
      <c r="I72" s="611"/>
      <c r="J72" s="611"/>
      <c r="K72" s="611"/>
      <c r="L72" s="611"/>
      <c r="M72" s="611"/>
      <c r="N72" s="611"/>
      <c r="O72" s="611"/>
      <c r="P72" s="611"/>
      <c r="Q72" s="611"/>
      <c r="R72" s="611"/>
      <c r="S72" s="611"/>
      <c r="T72" s="611"/>
      <c r="U72" s="611"/>
      <c r="V72" s="611"/>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6"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1</v>
      </c>
      <c r="Z76" s="182"/>
      <c r="AA76" s="182"/>
    </row>
    <row r="77" spans="1:28" ht="4.5" customHeight="1" x14ac:dyDescent="0.2">
      <c r="A77" s="9"/>
      <c r="B77" s="101"/>
    </row>
    <row r="78" spans="1:28" ht="15" customHeight="1" x14ac:dyDescent="0.25">
      <c r="A78" s="9"/>
      <c r="B78" s="118" t="str">
        <f>IF( Konsolidovan_izvjestaj, Konsolidovani_Konsolidovani &amp; " 1:", "")</f>
        <v>Preduzeće konsolidacije 1:</v>
      </c>
    </row>
    <row r="79" spans="1:28" ht="15" customHeight="1" x14ac:dyDescent="0.2">
      <c r="A79" s="9"/>
      <c r="B79" s="85" t="str">
        <f>IF( Konsolidovan_izvjestaj, Zaglavlje_MB, "")</f>
        <v>Matični broj</v>
      </c>
      <c r="D79" s="83">
        <v>1</v>
      </c>
      <c r="E79" s="83">
        <v>1</v>
      </c>
      <c r="F79" s="83">
        <v>2</v>
      </c>
      <c r="G79" s="83">
        <v>0</v>
      </c>
      <c r="H79" s="83">
        <v>8</v>
      </c>
      <c r="I79" s="83">
        <v>9</v>
      </c>
      <c r="J79" s="83">
        <v>2</v>
      </c>
      <c r="K79" s="83">
        <v>4</v>
      </c>
      <c r="Y79"/>
      <c r="Z79"/>
      <c r="AA79"/>
    </row>
    <row r="80" spans="1:28" customFormat="1" ht="4.5" customHeight="1" x14ac:dyDescent="0.2">
      <c r="A80" s="78"/>
      <c r="B80" s="78"/>
    </row>
    <row r="81" spans="1:27" ht="12.75" customHeight="1" x14ac:dyDescent="0.2">
      <c r="A81" s="9"/>
      <c r="B81" s="605" t="str">
        <f>IF( Konsolidovan_izvjestaj, Zaglavlje_Naziv_preduzeca, "")</f>
        <v xml:space="preserve">Naziv privrednog društva, zadruge, drugog pravnog lica ili preduzetnika: </v>
      </c>
      <c r="Y81"/>
      <c r="Z81"/>
      <c r="AA81"/>
    </row>
    <row r="82" spans="1:27" ht="21" customHeight="1" x14ac:dyDescent="0.2">
      <c r="A82" s="9"/>
      <c r="B82" s="605"/>
      <c r="D82" s="610" t="s">
        <v>3083</v>
      </c>
      <c r="E82" s="611"/>
      <c r="F82" s="611"/>
      <c r="G82" s="611"/>
      <c r="H82" s="611"/>
      <c r="I82" s="611"/>
      <c r="J82" s="611"/>
      <c r="K82" s="611"/>
      <c r="L82" s="611"/>
      <c r="M82" s="611"/>
      <c r="N82" s="611"/>
      <c r="O82" s="611"/>
      <c r="P82" s="611"/>
      <c r="Q82" s="611"/>
      <c r="R82" s="611"/>
      <c r="S82" s="611"/>
      <c r="T82" s="611"/>
      <c r="U82" s="611"/>
      <c r="V82" s="611"/>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Sjedište:</v>
      </c>
      <c r="D84" s="611" t="s">
        <v>3080</v>
      </c>
      <c r="E84" s="611"/>
      <c r="F84" s="611"/>
      <c r="G84" s="611"/>
      <c r="H84" s="611"/>
      <c r="I84" s="611"/>
      <c r="J84" s="611"/>
      <c r="K84" s="611"/>
      <c r="L84" s="611"/>
      <c r="M84" s="611"/>
      <c r="N84" s="611"/>
      <c r="O84" s="611"/>
      <c r="P84" s="611"/>
      <c r="Q84" s="611"/>
      <c r="R84" s="611"/>
      <c r="S84" s="611"/>
      <c r="T84" s="611"/>
      <c r="U84" s="611"/>
      <c r="V84" s="611"/>
      <c r="Y84"/>
      <c r="Z84"/>
      <c r="AA84"/>
    </row>
    <row r="85" spans="1:27" ht="4.5" customHeight="1" x14ac:dyDescent="0.2">
      <c r="A85" s="9"/>
      <c r="B85" s="85"/>
      <c r="Y85"/>
      <c r="Z85"/>
      <c r="AA85"/>
    </row>
    <row r="86" spans="1:27" ht="15" customHeight="1" x14ac:dyDescent="0.2">
      <c r="A86" s="9"/>
      <c r="B86" s="85" t="str">
        <f>IF( Konsolidovan_izvjestaj, Zaglavlje_JIB, "")</f>
        <v>JIB</v>
      </c>
      <c r="D86" s="83">
        <v>4</v>
      </c>
      <c r="E86" s="141">
        <v>4</v>
      </c>
      <c r="F86" s="142">
        <v>0</v>
      </c>
      <c r="G86" s="83">
        <v>4</v>
      </c>
      <c r="H86" s="141">
        <v>7</v>
      </c>
      <c r="I86" s="142">
        <v>6</v>
      </c>
      <c r="J86" s="83">
        <v>7</v>
      </c>
      <c r="K86" s="141">
        <v>3</v>
      </c>
      <c r="L86" s="142">
        <v>3</v>
      </c>
      <c r="M86" s="141">
        <v>0</v>
      </c>
      <c r="N86" s="142">
        <v>0</v>
      </c>
      <c r="O86" s="141">
        <v>0</v>
      </c>
      <c r="P86" s="142">
        <v>4</v>
      </c>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Preduzeće konsolidacije 2:</v>
      </c>
      <c r="Y88"/>
      <c r="Z88"/>
      <c r="AA88"/>
    </row>
    <row r="89" spans="1:27" ht="15" customHeight="1" x14ac:dyDescent="0.2">
      <c r="A89" s="9"/>
      <c r="B89" s="85" t="str">
        <f>IF( Konsolidovan_izvjestaj, Zaglavlje_MB, "")</f>
        <v>Matični broj</v>
      </c>
      <c r="D89" s="83"/>
      <c r="E89" s="83"/>
      <c r="F89" s="83"/>
      <c r="G89" s="83"/>
      <c r="H89" s="83"/>
      <c r="I89" s="83"/>
      <c r="J89" s="83"/>
      <c r="K89" s="83"/>
      <c r="Y89"/>
      <c r="Z89"/>
      <c r="AA89"/>
    </row>
    <row r="90" spans="1:27" ht="4.5" customHeight="1" x14ac:dyDescent="0.2">
      <c r="A90" s="9"/>
      <c r="B90" s="78"/>
    </row>
    <row r="91" spans="1:27" ht="12.75" customHeight="1" x14ac:dyDescent="0.2">
      <c r="A91" s="9"/>
      <c r="B91" s="605" t="str">
        <f>IF( Konsolidovan_izvjestaj, Zaglavlje_Naziv_preduzeca, "")</f>
        <v xml:space="preserve">Naziv privrednog društva, zadruge, drugog pravnog lica ili preduzetnika: </v>
      </c>
    </row>
    <row r="92" spans="1:27" ht="21.75" customHeight="1" x14ac:dyDescent="0.2">
      <c r="A92" s="9"/>
      <c r="B92" s="605"/>
      <c r="D92" s="611"/>
      <c r="E92" s="611"/>
      <c r="F92" s="611"/>
      <c r="G92" s="611"/>
      <c r="H92" s="611"/>
      <c r="I92" s="611"/>
      <c r="J92" s="611"/>
      <c r="K92" s="611"/>
      <c r="L92" s="611"/>
      <c r="M92" s="611"/>
      <c r="N92" s="611"/>
      <c r="O92" s="611"/>
      <c r="P92" s="611"/>
      <c r="Q92" s="611"/>
      <c r="R92" s="611"/>
      <c r="S92" s="611"/>
      <c r="T92" s="611"/>
      <c r="U92" s="611"/>
      <c r="V92" s="611"/>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Sjedište:</v>
      </c>
      <c r="D94" s="611"/>
      <c r="E94" s="611"/>
      <c r="F94" s="611"/>
      <c r="G94" s="611"/>
      <c r="H94" s="611"/>
      <c r="I94" s="611"/>
      <c r="J94" s="611"/>
      <c r="K94" s="611"/>
      <c r="L94" s="611"/>
      <c r="M94" s="611"/>
      <c r="N94" s="611"/>
      <c r="O94" s="611"/>
      <c r="P94" s="611"/>
      <c r="Q94" s="611"/>
      <c r="R94" s="611"/>
      <c r="S94" s="611"/>
      <c r="T94" s="611"/>
      <c r="U94" s="611"/>
      <c r="V94" s="611"/>
    </row>
    <row r="95" spans="1:27" ht="4.5" customHeight="1" x14ac:dyDescent="0.2">
      <c r="A95" s="9"/>
      <c r="B95" s="85"/>
    </row>
    <row r="96" spans="1:27" ht="15" customHeight="1" x14ac:dyDescent="0.2">
      <c r="A96" s="9"/>
      <c r="B96" s="85" t="str">
        <f>IF( Konsolidovan_izvjestaj, Zaglavlje_JIB, "")</f>
        <v>JIB</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Preduzeće konsolidacije 3:</v>
      </c>
    </row>
    <row r="99" spans="1:32" ht="15" customHeight="1" x14ac:dyDescent="0.2">
      <c r="A99" s="9"/>
      <c r="B99" s="85" t="str">
        <f>IF( Konsolidovan_izvjestaj, Zaglavlje_MB, "")</f>
        <v>Matični broj</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605" t="str">
        <f>IF( Konsolidovan_izvjestaj, Zaglavlje_Naziv_preduzeca, "")</f>
        <v xml:space="preserve">Naziv privrednog društva, zadruge, drugog pravnog lica ili preduzetnika: </v>
      </c>
    </row>
    <row r="102" spans="1:32" ht="20.25" customHeight="1" x14ac:dyDescent="0.2">
      <c r="A102" s="9"/>
      <c r="B102" s="605"/>
      <c r="D102" s="611"/>
      <c r="E102" s="611"/>
      <c r="F102" s="611"/>
      <c r="G102" s="611"/>
      <c r="H102" s="611"/>
      <c r="I102" s="611"/>
      <c r="J102" s="611"/>
      <c r="K102" s="611"/>
      <c r="L102" s="611"/>
      <c r="M102" s="611"/>
      <c r="N102" s="611"/>
      <c r="O102" s="611"/>
      <c r="P102" s="611"/>
      <c r="Q102" s="611"/>
      <c r="R102" s="611"/>
      <c r="S102" s="611"/>
      <c r="T102" s="611"/>
      <c r="U102" s="611"/>
      <c r="V102" s="611"/>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Sjedište:</v>
      </c>
      <c r="D104" s="611"/>
      <c r="E104" s="611"/>
      <c r="F104" s="611"/>
      <c r="G104" s="611"/>
      <c r="H104" s="611"/>
      <c r="I104" s="611"/>
      <c r="J104" s="611"/>
      <c r="K104" s="611"/>
      <c r="L104" s="611"/>
      <c r="M104" s="611"/>
      <c r="N104" s="611"/>
      <c r="O104" s="611"/>
      <c r="P104" s="611"/>
      <c r="Q104" s="611"/>
      <c r="R104" s="611"/>
      <c r="S104" s="611"/>
      <c r="T104" s="611"/>
      <c r="U104" s="611"/>
      <c r="V104" s="611"/>
    </row>
    <row r="105" spans="1:32" ht="4.5" customHeight="1" x14ac:dyDescent="0.2">
      <c r="A105" s="9"/>
      <c r="B105" s="85"/>
    </row>
    <row r="106" spans="1:32" ht="15" customHeight="1" x14ac:dyDescent="0.2">
      <c r="A106" s="9"/>
      <c r="B106" s="85" t="str">
        <f>IF( Konsolidovan_izvjestaj, Zaglavlje_JIB, "")</f>
        <v>JIB</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Preduzeće konsolidacije 4:</v>
      </c>
    </row>
    <row r="109" spans="1:32" ht="15" customHeight="1" x14ac:dyDescent="0.2">
      <c r="B109" s="85" t="str">
        <f>IF( Konsolidovan_izvjestaj, Zaglavlje_MB, "")</f>
        <v>Matični broj</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605" t="str">
        <f>IF( Konsolidovan_izvjestaj, Zaglavlje_Naziv_preduzeca, "")</f>
        <v xml:space="preserve">Naziv privrednog društva, zadruge, drugog pravnog lica ili preduzetnika: </v>
      </c>
    </row>
    <row r="112" spans="1:32" ht="22.5" customHeight="1" x14ac:dyDescent="0.2">
      <c r="B112" s="605"/>
      <c r="D112" s="611"/>
      <c r="E112" s="611"/>
      <c r="F112" s="611"/>
      <c r="G112" s="611"/>
      <c r="H112" s="611"/>
      <c r="I112" s="611"/>
      <c r="J112" s="611"/>
      <c r="K112" s="611"/>
      <c r="L112" s="611"/>
      <c r="M112" s="611"/>
      <c r="N112" s="611"/>
      <c r="O112" s="611"/>
      <c r="P112" s="611"/>
      <c r="Q112" s="611"/>
      <c r="R112" s="611"/>
      <c r="S112" s="611"/>
      <c r="T112" s="611"/>
      <c r="U112" s="611"/>
      <c r="V112" s="611"/>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Sjedište:</v>
      </c>
      <c r="D114" s="611"/>
      <c r="E114" s="611"/>
      <c r="F114" s="611"/>
      <c r="G114" s="611"/>
      <c r="H114" s="611"/>
      <c r="I114" s="611"/>
      <c r="J114" s="611"/>
      <c r="K114" s="611"/>
      <c r="L114" s="611"/>
      <c r="M114" s="611"/>
      <c r="N114" s="611"/>
      <c r="O114" s="611"/>
      <c r="P114" s="611"/>
      <c r="Q114" s="611"/>
      <c r="R114" s="611"/>
      <c r="S114" s="611"/>
      <c r="T114" s="611"/>
      <c r="U114" s="611"/>
      <c r="V114" s="611"/>
    </row>
    <row r="115" spans="2:32" ht="12.75" customHeight="1" x14ac:dyDescent="0.2">
      <c r="B115" s="85"/>
    </row>
    <row r="116" spans="2:32" ht="15" customHeight="1" x14ac:dyDescent="0.2">
      <c r="B116" s="85" t="str">
        <f>IF( Konsolidovan_izvjestaj, Zaglavlje_JIB, "")</f>
        <v>JIB</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Preduzeće konsolidacije 5:</v>
      </c>
    </row>
    <row r="119" spans="2:32" ht="15" customHeight="1" x14ac:dyDescent="0.2">
      <c r="B119" s="85" t="str">
        <f>IF( Konsolidovan_izvjestaj, Zaglavlje_MB, "")</f>
        <v>Matični broj</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605" t="str">
        <f>IF( Konsolidovan_izvjestaj, Zaglavlje_Naziv_preduzeca, "")</f>
        <v xml:space="preserve">Naziv privrednog društva, zadruge, drugog pravnog lica ili preduzetnika: </v>
      </c>
    </row>
    <row r="122" spans="2:32" ht="8.25" customHeight="1" x14ac:dyDescent="0.2">
      <c r="B122" s="605"/>
      <c r="D122" s="611"/>
      <c r="E122" s="611"/>
      <c r="F122" s="611"/>
      <c r="G122" s="611"/>
      <c r="H122" s="611"/>
      <c r="I122" s="611"/>
      <c r="J122" s="611"/>
      <c r="K122" s="611"/>
      <c r="L122" s="611"/>
      <c r="M122" s="611"/>
      <c r="N122" s="611"/>
      <c r="O122" s="611"/>
      <c r="P122" s="611"/>
      <c r="Q122" s="611"/>
      <c r="R122" s="611"/>
      <c r="S122" s="611"/>
      <c r="T122" s="611"/>
      <c r="U122" s="611"/>
      <c r="V122" s="611"/>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Sjedište:</v>
      </c>
      <c r="D124" s="611"/>
      <c r="E124" s="611"/>
      <c r="F124" s="611"/>
      <c r="G124" s="611"/>
      <c r="H124" s="611"/>
      <c r="I124" s="611"/>
      <c r="J124" s="611"/>
      <c r="K124" s="611"/>
      <c r="L124" s="611"/>
      <c r="M124" s="611"/>
      <c r="N124" s="611"/>
      <c r="O124" s="611"/>
      <c r="P124" s="611"/>
      <c r="Q124" s="611"/>
      <c r="R124" s="611"/>
      <c r="S124" s="611"/>
      <c r="T124" s="611"/>
      <c r="U124" s="611"/>
      <c r="V124" s="611"/>
    </row>
    <row r="125" spans="2:32" ht="12.75" customHeight="1" x14ac:dyDescent="0.2">
      <c r="B125" s="85"/>
    </row>
    <row r="126" spans="2:32" ht="15" customHeight="1" x14ac:dyDescent="0.2">
      <c r="B126" s="85" t="str">
        <f>IF( Konsolidovan_izvjestaj, Zaglavlje_JIB, "")</f>
        <v>JIB</v>
      </c>
      <c r="D126" s="83"/>
      <c r="E126" s="141"/>
      <c r="F126" s="142"/>
      <c r="G126" s="83"/>
      <c r="H126" s="141"/>
      <c r="I126" s="142"/>
      <c r="J126" s="83"/>
      <c r="K126" s="141"/>
      <c r="L126" s="142"/>
      <c r="M126" s="141"/>
      <c r="N126" s="142"/>
      <c r="O126" s="141"/>
      <c r="P126" s="142"/>
      <c r="Q126" s="44"/>
      <c r="R126" s="44"/>
      <c r="S126" s="44"/>
      <c r="T126" s="44"/>
      <c r="U126" s="44"/>
      <c r="V126" s="44"/>
    </row>
  </sheetData>
  <sheetProtection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D33:F33 H33:J33 L33:S33 D35:F35 H35:J35 L35:S35 D37:F37 H37:J37 L37:S37 D58:F58 H58:J58 L58:N58 D60:F60 H60:J60 L60:N60 D67:K67 D74:P74 D79:K79 D86:P86 D89:K89 D96:P96 D99:K99 D106:P106 D109:K109 D116:P116 D119:K119 D126:P126">
    <cfRule type="expression" dxfId="228" priority="74" stopIfTrue="1">
      <formula>$AC$3 &gt; 0</formula>
    </cfRule>
  </conditionalFormatting>
  <conditionalFormatting sqref="E24:P24 E74:P74 E86:P86 E96:P96 E106:P106 E116:P116 E126:P126">
    <cfRule type="expression" dxfId="227" priority="89" stopIfTrue="1">
      <formula>$O$14 &gt; 0</formula>
    </cfRule>
  </conditionalFormatting>
  <conditionalFormatting sqref="G17:I17">
    <cfRule type="expression" dxfId="226" priority="72" stopIfTrue="1">
      <formula>$AC$3 &gt; 0</formula>
    </cfRule>
  </conditionalFormatting>
  <conditionalFormatting sqref="U31:V31">
    <cfRule type="expression" dxfId="225" priority="69" stopIfTrue="1">
      <formula>$AC$3 &gt; 0</formula>
    </cfRule>
  </conditionalFormatting>
  <conditionalFormatting sqref="U33:V33">
    <cfRule type="expression" dxfId="224" priority="68" stopIfTrue="1">
      <formula>$AC$3 &gt; 0</formula>
    </cfRule>
  </conditionalFormatting>
  <conditionalFormatting sqref="U35:V35">
    <cfRule type="expression" dxfId="223" priority="67" stopIfTrue="1">
      <formula>$AC$3 &gt; 0</formula>
    </cfRule>
  </conditionalFormatting>
  <conditionalFormatting sqref="U37:V37">
    <cfRule type="expression" dxfId="222" priority="66" stopIfTrue="1">
      <formula>$AC$3 &gt; 0</formula>
    </cfRule>
  </conditionalFormatting>
  <conditionalFormatting sqref="D27:F27">
    <cfRule type="expression" dxfId="221" priority="24" stopIfTrue="1">
      <formula>$AC$3 &gt; 0</formula>
    </cfRule>
  </conditionalFormatting>
  <conditionalFormatting sqref="D27:F27">
    <cfRule type="expression" dxfId="220" priority="23" stopIfTrue="1">
      <formula>$AC$3 &gt; 0</formula>
    </cfRule>
  </conditionalFormatting>
  <conditionalFormatting sqref="H27:J27">
    <cfRule type="expression" dxfId="219" priority="22" stopIfTrue="1">
      <formula>$AC$3 &gt; 0</formula>
    </cfRule>
  </conditionalFormatting>
  <conditionalFormatting sqref="H27:J27">
    <cfRule type="expression" dxfId="218" priority="21" stopIfTrue="1">
      <formula>$AC$3 &gt; 0</formula>
    </cfRule>
  </conditionalFormatting>
  <conditionalFormatting sqref="L27:S27">
    <cfRule type="expression" dxfId="217" priority="20" stopIfTrue="1">
      <formula>$AC$3 &gt; 0</formula>
    </cfRule>
  </conditionalFormatting>
  <conditionalFormatting sqref="L27:S27">
    <cfRule type="expression" dxfId="216" priority="19" stopIfTrue="1">
      <formula>$AC$3 &gt; 0</formula>
    </cfRule>
  </conditionalFormatting>
  <conditionalFormatting sqref="L27:S27">
    <cfRule type="expression" dxfId="215" priority="18" stopIfTrue="1">
      <formula>$AC$3 &gt; 0</formula>
    </cfRule>
  </conditionalFormatting>
  <conditionalFormatting sqref="U27:V27">
    <cfRule type="expression" dxfId="214" priority="17" stopIfTrue="1">
      <formula>$AC$3 &gt; 0</formula>
    </cfRule>
  </conditionalFormatting>
  <conditionalFormatting sqref="D15:K15">
    <cfRule type="expression" dxfId="213" priority="16" stopIfTrue="1">
      <formula>$AC$3 &gt; 0</formula>
    </cfRule>
  </conditionalFormatting>
  <conditionalFormatting sqref="D15:K15">
    <cfRule type="expression" dxfId="212" priority="15" stopIfTrue="1">
      <formula>$AC$3 &gt; 0</formula>
    </cfRule>
  </conditionalFormatting>
  <conditionalFormatting sqref="D29:F29">
    <cfRule type="expression" dxfId="211" priority="14" stopIfTrue="1">
      <formula>$AC$3 &gt; 0</formula>
    </cfRule>
  </conditionalFormatting>
  <conditionalFormatting sqref="H29:J29">
    <cfRule type="expression" dxfId="210" priority="13" stopIfTrue="1">
      <formula>$AC$3 &gt; 0</formula>
    </cfRule>
  </conditionalFormatting>
  <conditionalFormatting sqref="H29:J29">
    <cfRule type="expression" dxfId="209" priority="12" stopIfTrue="1">
      <formula>$AC$3 &gt; 0</formula>
    </cfRule>
  </conditionalFormatting>
  <conditionalFormatting sqref="L29:S29">
    <cfRule type="expression" dxfId="208" priority="11" stopIfTrue="1">
      <formula>$AC$3 &gt; 0</formula>
    </cfRule>
  </conditionalFormatting>
  <conditionalFormatting sqref="L29:S29">
    <cfRule type="expression" dxfId="207" priority="10" stopIfTrue="1">
      <formula>$AC$3 &gt; 0</formula>
    </cfRule>
  </conditionalFormatting>
  <conditionalFormatting sqref="L29:S29">
    <cfRule type="expression" dxfId="206" priority="9" stopIfTrue="1">
      <formula>$AC$3 &gt; 0</formula>
    </cfRule>
  </conditionalFormatting>
  <conditionalFormatting sqref="U29:V29">
    <cfRule type="expression" dxfId="205" priority="8" stopIfTrue="1">
      <formula>$AC$3 &gt; 0</formula>
    </cfRule>
  </conditionalFormatting>
  <conditionalFormatting sqref="D31:F31">
    <cfRule type="expression" dxfId="204" priority="7" stopIfTrue="1">
      <formula>$AC$3 &gt; 0</formula>
    </cfRule>
  </conditionalFormatting>
  <conditionalFormatting sqref="D31:F31">
    <cfRule type="expression" dxfId="203" priority="6" stopIfTrue="1">
      <formula>$AC$3 &gt; 0</formula>
    </cfRule>
  </conditionalFormatting>
  <conditionalFormatting sqref="H31:J31">
    <cfRule type="expression" dxfId="202" priority="5" stopIfTrue="1">
      <formula>$AC$3 &gt; 0</formula>
    </cfRule>
  </conditionalFormatting>
  <conditionalFormatting sqref="H31:J31">
    <cfRule type="expression" dxfId="201" priority="4" stopIfTrue="1">
      <formula>$AC$3 &gt; 0</formula>
    </cfRule>
  </conditionalFormatting>
  <conditionalFormatting sqref="L31:S31">
    <cfRule type="expression" dxfId="200" priority="3" stopIfTrue="1">
      <formula>$AC$3 &gt; 0</formula>
    </cfRule>
  </conditionalFormatting>
  <conditionalFormatting sqref="L31:S31">
    <cfRule type="expression" dxfId="199" priority="2" stopIfTrue="1">
      <formula>$AC$3 &gt; 0</formula>
    </cfRule>
  </conditionalFormatting>
  <conditionalFormatting sqref="L31:S31">
    <cfRule type="expression" dxfId="198"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SheetLayoutView="85" workbookViewId="0">
      <pane xSplit="14" ySplit="4" topLeftCell="O5" activePane="bottomRight" state="frozen"/>
      <selection activeCell="S33" sqref="S33"/>
      <selection pane="topRight" activeCell="S33" sqref="S33"/>
      <selection pane="bottomLeft" activeCell="S33" sqref="S33"/>
      <selection pane="bottomRight" activeCell="M116" sqref="M116"/>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60" t="str">
        <f>Zaglavlje_Naziv_preduzeca</f>
        <v xml:space="preserve">Naziv privrednog društva, zadruge, drugog pravnog lica ili preduzetnika: </v>
      </c>
      <c r="D5" s="660"/>
      <c r="E5" s="660"/>
      <c r="F5" s="126"/>
      <c r="G5" s="126"/>
      <c r="H5" s="126"/>
      <c r="I5" s="126"/>
      <c r="K5" s="126"/>
      <c r="N5" s="391" t="str">
        <f>Podatak_MB</f>
        <v>01814788</v>
      </c>
    </row>
    <row r="6" spans="1:14" x14ac:dyDescent="0.2">
      <c r="A6" s="13"/>
      <c r="B6" s="13"/>
      <c r="C6" s="660"/>
      <c r="D6" s="660"/>
      <c r="E6" s="660"/>
      <c r="F6" s="128"/>
      <c r="G6" s="126"/>
      <c r="J6" s="126"/>
      <c r="K6" s="126"/>
      <c r="L6" s="126"/>
      <c r="N6" s="420" t="str">
        <f>Zaglavlje_MB</f>
        <v>Matični broj</v>
      </c>
    </row>
    <row r="7" spans="1:14" x14ac:dyDescent="0.2">
      <c r="A7" s="16"/>
      <c r="B7" s="16"/>
      <c r="C7" s="672" t="str">
        <f>Podatak_Naziv_preduzeca</f>
        <v>Elektrodistribucija a.d. Pale</v>
      </c>
      <c r="D7" s="672"/>
      <c r="E7" s="672"/>
      <c r="F7" s="243"/>
      <c r="J7" s="126"/>
      <c r="K7" s="126"/>
      <c r="L7" s="126"/>
      <c r="N7" s="391" t="str">
        <f>Podatak_Sifra_djelatnosti</f>
        <v>35.13</v>
      </c>
    </row>
    <row r="8" spans="1:14" x14ac:dyDescent="0.2">
      <c r="A8" s="16"/>
      <c r="B8" s="16"/>
      <c r="C8" s="125" t="str">
        <f>Zaglavlje_Sjediste</f>
        <v>Sjedište:</v>
      </c>
      <c r="D8" s="684" t="str">
        <f>Podatak_Sjediste</f>
        <v>Pale</v>
      </c>
      <c r="E8" s="684"/>
      <c r="F8" s="129"/>
      <c r="G8" s="126"/>
      <c r="J8" s="126"/>
      <c r="K8" s="126"/>
      <c r="L8" s="126"/>
      <c r="N8" s="242" t="str">
        <f>Zaglavlje_Sifra_djelatnosti</f>
        <v>Šifra djelatnosti</v>
      </c>
    </row>
    <row r="9" spans="1:14" ht="12.75" customHeight="1" x14ac:dyDescent="0.2">
      <c r="A9" s="13"/>
      <c r="B9" s="13"/>
      <c r="C9" s="671" t="str">
        <f>Zaglavlje_Ziro_racun</f>
        <v>Račun kod ovlašćene organizacije za platni promet:</v>
      </c>
      <c r="D9" s="671"/>
      <c r="E9" s="671"/>
      <c r="J9" s="126"/>
      <c r="K9" s="126"/>
      <c r="L9" s="674" t="str">
        <f>Podatak_JIB</f>
        <v>4400570050004</v>
      </c>
      <c r="M9" s="674"/>
      <c r="N9" s="674"/>
    </row>
    <row r="10" spans="1:14" x14ac:dyDescent="0.2">
      <c r="A10" s="13"/>
      <c r="B10" s="13"/>
      <c r="C10" s="673" t="str">
        <f>Podatak_Ziro_racun_1</f>
        <v>562-012-00002669-48</v>
      </c>
      <c r="D10" s="673"/>
      <c r="E10" s="673"/>
      <c r="F10" s="125"/>
      <c r="G10" s="667" t="s">
        <v>786</v>
      </c>
      <c r="H10" s="667"/>
      <c r="J10" s="126"/>
      <c r="K10" s="126"/>
      <c r="L10" s="126"/>
      <c r="N10" s="242" t="str">
        <f>Zaglavlje_JIB</f>
        <v>JIB</v>
      </c>
    </row>
    <row r="11" spans="1:14" x14ac:dyDescent="0.2">
      <c r="B11" s="8"/>
      <c r="C11" s="673" t="str">
        <f>Podatak_Ziro_racun_2</f>
        <v>555-002-00004363-23</v>
      </c>
      <c r="D11" s="673"/>
      <c r="E11" s="673"/>
      <c r="F11" s="130"/>
      <c r="G11" s="130"/>
      <c r="H11" s="130"/>
      <c r="I11" s="130"/>
      <c r="J11" s="131"/>
      <c r="K11" s="131"/>
      <c r="L11" s="130"/>
      <c r="M11" s="132"/>
      <c r="N11" s="132"/>
    </row>
    <row r="12" spans="1:14" x14ac:dyDescent="0.2">
      <c r="B12" s="8"/>
      <c r="C12" s="673" t="str">
        <f>Podatak_Ziro_racun_3</f>
        <v>567-491-10000002-86</v>
      </c>
      <c r="D12" s="673"/>
      <c r="E12" s="673"/>
      <c r="F12" s="130"/>
      <c r="G12" s="130"/>
      <c r="H12" s="130"/>
      <c r="I12" s="130"/>
      <c r="J12" s="131"/>
      <c r="K12" s="131"/>
      <c r="L12" s="130"/>
      <c r="M12" s="132"/>
      <c r="N12" s="132"/>
    </row>
    <row r="13" spans="1:14" x14ac:dyDescent="0.2">
      <c r="B13" s="8"/>
      <c r="C13" s="673" t="str">
        <f>Podatak_Ziro_racun_4</f>
        <v/>
      </c>
      <c r="D13" s="673"/>
      <c r="E13" s="673"/>
      <c r="F13" s="130"/>
      <c r="G13" s="130"/>
      <c r="H13" s="130"/>
      <c r="I13" s="130"/>
      <c r="J13" s="131"/>
      <c r="K13" s="131"/>
      <c r="L13" s="130"/>
      <c r="M13" s="132"/>
      <c r="N13" s="132"/>
    </row>
    <row r="14" spans="1:14" ht="15.75" x14ac:dyDescent="0.2">
      <c r="B14" s="8"/>
      <c r="C14" s="685" t="str">
        <f>IF( Id_Konsolidovani, Nazivi_bilansa_Konsolidovani_naziv &amp; LOWER( Nazivi_bilansa_BS), Nazivi_bilansa_BS)</f>
        <v>Konsolidovani bilans stanja</v>
      </c>
      <c r="D14" s="685"/>
      <c r="E14" s="685"/>
      <c r="F14" s="685"/>
      <c r="G14" s="685"/>
      <c r="H14" s="685"/>
      <c r="I14" s="685"/>
      <c r="J14" s="685"/>
      <c r="K14" s="685"/>
      <c r="L14" s="685"/>
      <c r="M14" s="685"/>
      <c r="N14" s="685"/>
    </row>
    <row r="15" spans="1:14" x14ac:dyDescent="0.2">
      <c r="B15" s="8"/>
      <c r="C15" s="670" t="str">
        <f>Nazivi_bilansa_BS1</f>
        <v>(Izvještaj o finansijskom položaju)</v>
      </c>
      <c r="D15" s="670"/>
      <c r="E15" s="670"/>
      <c r="F15" s="670"/>
      <c r="G15" s="670"/>
      <c r="H15" s="670"/>
      <c r="I15" s="670"/>
      <c r="J15" s="670"/>
      <c r="K15" s="670"/>
      <c r="L15" s="670"/>
      <c r="M15" s="670"/>
      <c r="N15" s="670"/>
    </row>
    <row r="16" spans="1:14" x14ac:dyDescent="0.2">
      <c r="B16" s="8"/>
      <c r="C16" s="670" t="str">
        <f>Datumi_Datum_BS</f>
        <v>na dan 30.09.2024. godine</v>
      </c>
      <c r="D16" s="670"/>
      <c r="E16" s="670"/>
      <c r="F16" s="670"/>
      <c r="G16" s="670"/>
      <c r="H16" s="670"/>
      <c r="I16" s="670"/>
      <c r="J16" s="670"/>
      <c r="K16" s="670"/>
      <c r="L16" s="670"/>
      <c r="M16" s="670"/>
      <c r="N16" s="670"/>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29" t="str">
        <f>Tabele_zaglavlje_Grupa_racuna</f>
        <v>Grupa računa, račun</v>
      </c>
      <c r="D18" s="661" t="str">
        <f>Tabele_zaglavlje_Pozicija</f>
        <v>POZICIJA</v>
      </c>
      <c r="E18" s="662"/>
      <c r="F18" s="662"/>
      <c r="G18" s="662"/>
      <c r="H18" s="663"/>
      <c r="I18" s="659" t="str">
        <f>Tabele_zaglavlje_Oznaka_aop</f>
        <v>Oznaka za AOP</v>
      </c>
      <c r="J18" s="631" t="str" cm="1">
        <f t="array" ref="J18">Tabele_zaglavlje_Napomena_aop</f>
        <v>Napomena</v>
      </c>
      <c r="K18" s="669" t="str">
        <f>Tabele_zaglavlje_BS_iznos_tekuca</f>
        <v>Iznos na dan bilansa tekuće godine</v>
      </c>
      <c r="L18" s="669"/>
      <c r="M18" s="669"/>
      <c r="N18" s="668" t="str">
        <f>Tabele_zaglavlje_BS_iznos_prethodna</f>
        <v>Iznos na dan bilansa prethodne godine (PS)</v>
      </c>
    </row>
    <row r="19" spans="2:16" ht="38.25" customHeight="1" x14ac:dyDescent="0.2">
      <c r="B19" s="8"/>
      <c r="C19" s="630"/>
      <c r="D19" s="664"/>
      <c r="E19" s="665"/>
      <c r="F19" s="665"/>
      <c r="G19" s="665"/>
      <c r="H19" s="666"/>
      <c r="I19" s="658"/>
      <c r="J19" s="632"/>
      <c r="K19" s="22" t="str">
        <f>Tabele_zaglavlje_BS_bruto</f>
        <v>Bruto</v>
      </c>
      <c r="L19" s="23" t="str">
        <f>Tabele_zaglavlje_BS_ispravka</f>
        <v>Ispravka vrijednosti</v>
      </c>
      <c r="M19" s="23" t="str">
        <f>Tabele_zaglavlje_BS_neto</f>
        <v>Neto (5-6)</v>
      </c>
      <c r="N19" s="646"/>
      <c r="P19" s="134" t="s">
        <v>490</v>
      </c>
    </row>
    <row r="20" spans="2:16" x14ac:dyDescent="0.2">
      <c r="B20" s="15" t="s">
        <v>123</v>
      </c>
      <c r="C20" s="24">
        <v>1</v>
      </c>
      <c r="D20" s="633">
        <v>2</v>
      </c>
      <c r="E20" s="634"/>
      <c r="F20" s="634"/>
      <c r="G20" s="634"/>
      <c r="H20" s="635"/>
      <c r="I20" s="25">
        <v>3</v>
      </c>
      <c r="J20" s="25">
        <v>4</v>
      </c>
      <c r="K20" s="25">
        <v>5</v>
      </c>
      <c r="L20" s="25">
        <v>6</v>
      </c>
      <c r="M20" s="25">
        <v>7</v>
      </c>
      <c r="N20" s="26">
        <v>8</v>
      </c>
    </row>
    <row r="21" spans="2:16" ht="26.25" customHeight="1" x14ac:dyDescent="0.2">
      <c r="B21" s="15">
        <v>1</v>
      </c>
      <c r="C21" s="169">
        <f>VLOOKUP( $B21, T_Aop[], 5, 1)</f>
        <v>0</v>
      </c>
      <c r="D21" s="642" t="str">
        <f>VLOOKUP( $B21, T_Aop[], 6, 1)</f>
        <v xml:space="preserve">  BILANSNA AKTIVA
A. STALNA SREDSTVA (002+008+015+016+017+022+034)</v>
      </c>
      <c r="E21" s="643"/>
      <c r="F21" s="643"/>
      <c r="G21" s="643"/>
      <c r="H21" s="644"/>
      <c r="I21" s="425">
        <f>VLOOKUP( $B21, T_Aop[], 4, 1)</f>
        <v>1</v>
      </c>
      <c r="J21" s="426"/>
      <c r="K21" s="32">
        <f>SUBTOTAL( 9, K22:K54)</f>
        <v>348926572</v>
      </c>
      <c r="L21" s="32">
        <f>SUBTOTAL( 9, L22:L54)</f>
        <v>201928999</v>
      </c>
      <c r="M21" s="235">
        <f>IF(AND([0]!Godina=2024,MID(Osnovni_podaci!D20,3,1)="e",Osnovni_podaci!L24=5,Osnovni_podaci!G24=0,MID(Osnovni_podaci!D20,3,1)="e",MID(Osnovni_podaci!D20,8,1)="d"),SUM(K21,-L21),A1)</f>
        <v>146997573</v>
      </c>
      <c r="N21" s="33">
        <f>SUBTOTAL( 9, N22:N54)</f>
        <v>146936866</v>
      </c>
    </row>
    <row r="22" spans="2:16" x14ac:dyDescent="0.2">
      <c r="B22" s="15">
        <v>2</v>
      </c>
      <c r="C22" s="359" t="str">
        <f>VLOOKUP( $B22, T_Aop[], 5, 1)</f>
        <v>01</v>
      </c>
      <c r="D22" s="639" t="str">
        <f>VLOOKUP( $B22, T_Aop[], 6, 1)</f>
        <v xml:space="preserve">  I  NEMATERIJALNA SREDSTVA  (003 do 007)</v>
      </c>
      <c r="E22" s="640"/>
      <c r="F22" s="640"/>
      <c r="G22" s="640"/>
      <c r="H22" s="641"/>
      <c r="I22" s="168">
        <f>VLOOKUP( $B22, T_Aop[], 4, 1)</f>
        <v>2</v>
      </c>
      <c r="J22" s="424"/>
      <c r="K22" s="30">
        <f>SUBTOTAL( 9, K23:K27)</f>
        <v>7725272</v>
      </c>
      <c r="L22" s="30">
        <f>SUBTOTAL( 9, L23:L27)</f>
        <v>1499606</v>
      </c>
      <c r="M22" s="30">
        <f>IF(AND([0]!Godina=2024,MID(Osnovni_podaci!D20,3,1)="e",Osnovni_podaci!L24=5,Osnovni_podaci!G24=0,MID(Osnovni_podaci!D20,3,1)="e",MID(Osnovni_podaci!D20,8,1)="d"),SUM(K22,-L22),A1)</f>
        <v>6225666</v>
      </c>
      <c r="N22" s="239">
        <f>SUBTOTAL( 9, N23:N27)</f>
        <v>6162177</v>
      </c>
      <c r="P22" s="44"/>
    </row>
    <row r="23" spans="2:16" x14ac:dyDescent="0.2">
      <c r="B23" s="15">
        <v>3</v>
      </c>
      <c r="C23" s="360" t="str">
        <f>VLOOKUP( $B23, T_Aop[], 5, 1)</f>
        <v>010, dio 019</v>
      </c>
      <c r="D23" s="620" t="str">
        <f>VLOOKUP( $B23, T_Aop[], 6, 1)</f>
        <v xml:space="preserve">    1. Ulaganja u razvoj</v>
      </c>
      <c r="E23" s="621"/>
      <c r="F23" s="621"/>
      <c r="G23" s="621"/>
      <c r="H23" s="622"/>
      <c r="I23" s="121">
        <f>VLOOKUP( $B23, T_Aop[], 4, 1)</f>
        <v>3</v>
      </c>
      <c r="J23" s="157"/>
      <c r="K23" s="157">
        <v>42799</v>
      </c>
      <c r="L23" s="157">
        <v>23910</v>
      </c>
      <c r="M23" s="236">
        <f>IF(AND([0]!Godina=2024,MID(Osnovni_podaci!D20,3,1)="e",Osnovni_podaci!L24=5,Osnovni_podaci!G24=0,MID(Osnovni_podaci!D20,3,1)="e",MID(Osnovni_podaci!D20,8,1)="d"),SUM(K23,-L23),A1)</f>
        <v>18889</v>
      </c>
      <c r="N23" s="193">
        <v>19959</v>
      </c>
      <c r="P23" s="44"/>
    </row>
    <row r="24" spans="2:16" x14ac:dyDescent="0.2">
      <c r="B24" s="15">
        <v>4</v>
      </c>
      <c r="C24" s="361" t="str">
        <f>VLOOKUP( $B24, T_Aop[], 5, 1)</f>
        <v>011, 013 dio 019</v>
      </c>
      <c r="D24" s="617" t="str">
        <f>VLOOKUP( $B24, T_Aop[], 6, 1)</f>
        <v xml:space="preserve">    2. Koncesije, patenti, licence, softver i ostala prava</v>
      </c>
      <c r="E24" s="618"/>
      <c r="F24" s="618"/>
      <c r="G24" s="618"/>
      <c r="H24" s="619"/>
      <c r="I24" s="122">
        <f>VLOOKUP( $B24, T_Aop[], 4, 1)</f>
        <v>4</v>
      </c>
      <c r="J24" s="155"/>
      <c r="K24" s="155">
        <f>7480394+202079</f>
        <v>7682473</v>
      </c>
      <c r="L24" s="155">
        <f>1466324+9372</f>
        <v>1475696</v>
      </c>
      <c r="M24" s="150">
        <f>IF(AND([0]!Godina=2024,MID(Osnovni_podaci!D20,3,1)="e",Osnovni_podaci!L24=5,Osnovni_podaci!G24=0,MID(Osnovni_podaci!D20,3,1)="e",MID(Osnovni_podaci!D20,8,1)="d"),SUM(K24,-L24),A1)</f>
        <v>6206777</v>
      </c>
      <c r="N24" s="192">
        <v>6142218</v>
      </c>
      <c r="P24" s="44"/>
    </row>
    <row r="25" spans="2:16" x14ac:dyDescent="0.2">
      <c r="B25" s="15">
        <v>5</v>
      </c>
      <c r="C25" s="360" t="str">
        <f>VLOOKUP( $B25, T_Aop[], 5, 1)</f>
        <v>012, dio 019</v>
      </c>
      <c r="D25" s="620" t="str">
        <f>VLOOKUP( $B25, T_Aop[], 6, 1)</f>
        <v xml:space="preserve">    3. Goodwill</v>
      </c>
      <c r="E25" s="621"/>
      <c r="F25" s="621"/>
      <c r="G25" s="621"/>
      <c r="H25" s="622"/>
      <c r="I25" s="121">
        <f>VLOOKUP( $B25, T_Aop[], 4, 1)</f>
        <v>5</v>
      </c>
      <c r="J25" s="157"/>
      <c r="K25" s="157"/>
      <c r="L25" s="157"/>
      <c r="M25" s="151">
        <f>IF(AND([0]!Godina=2024,MID(Osnovni_podaci!D20,3,1)="e",Osnovni_podaci!L24=5,Osnovni_podaci!G24=0,MID(Osnovni_podaci!D20,3,1)="e",MID(Osnovni_podaci!D20,8,1)="d"),SUM(K25,-L25),A1)</f>
        <v>0</v>
      </c>
      <c r="N25" s="193">
        <v>0</v>
      </c>
      <c r="P25" s="44"/>
    </row>
    <row r="26" spans="2:16" x14ac:dyDescent="0.2">
      <c r="B26" s="15">
        <v>6</v>
      </c>
      <c r="C26" s="361" t="str">
        <f>VLOOKUP( $B26, T_Aop[], 5, 1)</f>
        <v>014, dio 019</v>
      </c>
      <c r="D26" s="617" t="str">
        <f>VLOOKUP( $B26, T_Aop[], 6, 1)</f>
        <v xml:space="preserve">    4. Ostala nematerijalna sredstva</v>
      </c>
      <c r="E26" s="618"/>
      <c r="F26" s="618"/>
      <c r="G26" s="618"/>
      <c r="H26" s="619"/>
      <c r="I26" s="122">
        <f>VLOOKUP( $B26, T_Aop[], 4, 1)</f>
        <v>6</v>
      </c>
      <c r="J26" s="155"/>
      <c r="K26" s="155"/>
      <c r="L26" s="155"/>
      <c r="M26" s="152">
        <f>IF(AND([0]!Godina=2024,MID(Osnovni_podaci!D20,3,1)="e",Osnovni_podaci!L24=5,Osnovni_podaci!G24=0,MID(Osnovni_podaci!D20,3,1)="e",MID(Osnovni_podaci!D20,8,1)="d"),SUM(K26,-L26),A1)</f>
        <v>0</v>
      </c>
      <c r="N26" s="192">
        <v>0</v>
      </c>
      <c r="P26" s="44"/>
    </row>
    <row r="27" spans="2:16" x14ac:dyDescent="0.2">
      <c r="B27" s="15">
        <v>7</v>
      </c>
      <c r="C27" s="360" t="str">
        <f>VLOOKUP( $B27, T_Aop[], 5, 1)</f>
        <v>015, 016, dio 019</v>
      </c>
      <c r="D27" s="620" t="str">
        <f>VLOOKUP( $B27, T_Aop[], 6, 1)</f>
        <v xml:space="preserve">    5. Avansi i nematerijalna sredstva u pripremi </v>
      </c>
      <c r="E27" s="621"/>
      <c r="F27" s="621"/>
      <c r="G27" s="621"/>
      <c r="H27" s="622"/>
      <c r="I27" s="121">
        <f>VLOOKUP( $B27, T_Aop[], 4, 1)</f>
        <v>7</v>
      </c>
      <c r="J27" s="157"/>
      <c r="K27" s="157"/>
      <c r="L27" s="157"/>
      <c r="M27" s="151">
        <f>IF(AND([0]!Godina=2024,MID(Osnovni_podaci!D20,3,1)="e",Osnovni_podaci!L24=5,Osnovni_podaci!G24=0,MID(Osnovni_podaci!D20,3,1)="e",MID(Osnovni_podaci!D20,8,1)="d"),SUM(K27,-L27),A1)</f>
        <v>0</v>
      </c>
      <c r="N27" s="193">
        <v>0</v>
      </c>
      <c r="P27" s="44"/>
    </row>
    <row r="28" spans="2:16" x14ac:dyDescent="0.2">
      <c r="B28" s="15">
        <v>8</v>
      </c>
      <c r="C28" s="361" t="str">
        <f>VLOOKUP( $B28, T_Aop[], 5, 1)</f>
        <v>02</v>
      </c>
      <c r="D28" s="623" t="str">
        <f>VLOOKUP( $B28, T_Aop[], 6, 1)</f>
        <v xml:space="preserve">  II  NEKRETNINE, POSTROJENJA I OPREMA (009 do 014) </v>
      </c>
      <c r="E28" s="624"/>
      <c r="F28" s="624"/>
      <c r="G28" s="624"/>
      <c r="H28" s="625"/>
      <c r="I28" s="171">
        <f>VLOOKUP( $B28, T_Aop[], 4, 1)</f>
        <v>8</v>
      </c>
      <c r="J28" s="155"/>
      <c r="K28" s="30">
        <f>SUBTOTAL(9,K29:K34)</f>
        <v>339841761</v>
      </c>
      <c r="L28" s="30">
        <f>SUBTOTAL(9,L29:L34)</f>
        <v>199525964</v>
      </c>
      <c r="M28" s="31">
        <f>IF(AND([0]!Godina=2024,MID(Osnovni_podaci!D20,3,1)="e",Osnovni_podaci!L24=5,Osnovni_podaci!G24=0,MID(Osnovni_podaci!D20,3,1)="e",MID(Osnovni_podaci!D20,8,1)="d"),SUM(K28,-L28),A1)</f>
        <v>140315797</v>
      </c>
      <c r="N28" s="239">
        <f>SUBTOTAL(9,N29:N34)</f>
        <v>140430031</v>
      </c>
      <c r="P28" s="44"/>
    </row>
    <row r="29" spans="2:16" x14ac:dyDescent="0.2">
      <c r="B29" s="15">
        <v>9</v>
      </c>
      <c r="C29" s="360" t="str">
        <f>VLOOKUP( $B29, T_Aop[], 5, 1)</f>
        <v>020, dio 029</v>
      </c>
      <c r="D29" s="620" t="str">
        <f>VLOOKUP( $B29, T_Aop[], 6, 1)</f>
        <v xml:space="preserve">    1. Zemljište</v>
      </c>
      <c r="E29" s="621"/>
      <c r="F29" s="621"/>
      <c r="G29" s="621"/>
      <c r="H29" s="622"/>
      <c r="I29" s="121">
        <f>VLOOKUP( $B29, T_Aop[], 4, 1)</f>
        <v>9</v>
      </c>
      <c r="J29" s="157"/>
      <c r="K29" s="157">
        <v>325601</v>
      </c>
      <c r="L29" s="157"/>
      <c r="M29" s="151">
        <f>IF(AND([0]!Godina=2024,MID(Osnovni_podaci!D20,3,1)="e",Osnovni_podaci!L24=5,Osnovni_podaci!G24=0,MID(Osnovni_podaci!D20,3,1)="e",MID(Osnovni_podaci!D20,8,1)="d"),SUM(K29,-L29),A1)</f>
        <v>325601</v>
      </c>
      <c r="N29" s="576">
        <v>325601</v>
      </c>
      <c r="P29" s="44"/>
    </row>
    <row r="30" spans="2:16" x14ac:dyDescent="0.2">
      <c r="B30" s="15">
        <v>10</v>
      </c>
      <c r="C30" s="361" t="str">
        <f>VLOOKUP( $B30, T_Aop[], 5, 1)</f>
        <v>021, dio 029</v>
      </c>
      <c r="D30" s="617" t="str">
        <f>VLOOKUP( $B30, T_Aop[], 6, 1)</f>
        <v xml:space="preserve">    2. Građevinski objekti</v>
      </c>
      <c r="E30" s="618"/>
      <c r="F30" s="618"/>
      <c r="G30" s="618"/>
      <c r="H30" s="619"/>
      <c r="I30" s="122">
        <f>VLOOKUP( $B30, T_Aop[], 4, 1)</f>
        <v>10</v>
      </c>
      <c r="J30" s="155"/>
      <c r="K30" s="155">
        <f>44619863+22353885+201025</f>
        <v>67174773</v>
      </c>
      <c r="L30" s="155">
        <f>18351661+709364+18427</f>
        <v>19079452</v>
      </c>
      <c r="M30" s="152">
        <f>IF(AND([0]!Godina=2024,MID(Osnovni_podaci!D20,3,1)="e",Osnovni_podaci!L24=5,Osnovni_podaci!G24=0,MID(Osnovni_podaci!D20,3,1)="e",MID(Osnovni_podaci!D20,8,1)="d"),SUM(K30,-L30),A1)</f>
        <v>48095321</v>
      </c>
      <c r="N30" s="577">
        <f>47561889+197675</f>
        <v>47759564</v>
      </c>
      <c r="P30" s="44"/>
    </row>
    <row r="31" spans="2:16" x14ac:dyDescent="0.2">
      <c r="B31" s="15">
        <v>11</v>
      </c>
      <c r="C31" s="360" t="str">
        <f>VLOOKUP( $B31, T_Aop[], 5, 1)</f>
        <v>022, dio 029</v>
      </c>
      <c r="D31" s="620" t="str">
        <f>VLOOKUP( $B31, T_Aop[], 6, 1)</f>
        <v xml:space="preserve">    3. Postrojenja i oprema</v>
      </c>
      <c r="E31" s="621"/>
      <c r="F31" s="621"/>
      <c r="G31" s="621"/>
      <c r="H31" s="622"/>
      <c r="I31" s="121">
        <f>VLOOKUP( $B31, T_Aop[], 4, 1)</f>
        <v>11</v>
      </c>
      <c r="J31" s="157"/>
      <c r="K31" s="157">
        <f>251176801+10778209</f>
        <v>261955010</v>
      </c>
      <c r="L31" s="157">
        <f>179815405+631107</f>
        <v>180446512</v>
      </c>
      <c r="M31" s="151">
        <f>IF(AND([0]!Godina=2024,MID(Osnovni_podaci!D20,3,1)="e",Osnovni_podaci!L24=5,Osnovni_podaci!G24=0,MID(Osnovni_podaci!D20,3,1)="e",MID(Osnovni_podaci!D20,8,1)="d"),SUM(K31,-L31),A1)</f>
        <v>81508498</v>
      </c>
      <c r="N31" s="576">
        <v>82004567</v>
      </c>
      <c r="P31" s="44"/>
    </row>
    <row r="32" spans="2:16" x14ac:dyDescent="0.2">
      <c r="B32" s="15">
        <v>12</v>
      </c>
      <c r="C32" s="361" t="str">
        <f>VLOOKUP( $B32, T_Aop[], 5, 1)</f>
        <v>023, dio 029</v>
      </c>
      <c r="D32" s="617" t="str">
        <f>VLOOKUP( $B32, T_Aop[], 6, 1)</f>
        <v xml:space="preserve">    4. Ostale nekretnine, postrojenja i oprema</v>
      </c>
      <c r="E32" s="618"/>
      <c r="F32" s="618"/>
      <c r="G32" s="618"/>
      <c r="H32" s="619"/>
      <c r="I32" s="122">
        <f>VLOOKUP( $B32, T_Aop[], 4, 1)</f>
        <v>12</v>
      </c>
      <c r="J32" s="155"/>
      <c r="K32" s="155">
        <v>16731</v>
      </c>
      <c r="L32" s="155"/>
      <c r="M32" s="152">
        <f>IF(AND([0]!Godina=2024,MID(Osnovni_podaci!D20,3,1)="e",Osnovni_podaci!L24=5,Osnovni_podaci!G24=0,MID(Osnovni_podaci!D20,3,1)="e",MID(Osnovni_podaci!D20,8,1)="d"),SUM(K32,-L32),A1)</f>
        <v>16731</v>
      </c>
      <c r="N32" s="577">
        <v>16731</v>
      </c>
      <c r="P32" s="44"/>
    </row>
    <row r="33" spans="2:16" x14ac:dyDescent="0.2">
      <c r="B33" s="15">
        <v>13</v>
      </c>
      <c r="C33" s="360" t="str">
        <f>VLOOKUP( $B33, T_Aop[], 5, 1)</f>
        <v>024, dio 029</v>
      </c>
      <c r="D33" s="620" t="str">
        <f>VLOOKUP( $B33, T_Aop[], 6, 1)</f>
        <v xml:space="preserve">    5. Ulaganje na tuđim nekretninama, postrojenjima i opremi</v>
      </c>
      <c r="E33" s="621"/>
      <c r="F33" s="621"/>
      <c r="G33" s="621"/>
      <c r="H33" s="622"/>
      <c r="I33" s="121">
        <f>VLOOKUP( $B33, T_Aop[], 4, 1)</f>
        <v>13</v>
      </c>
      <c r="J33" s="157"/>
      <c r="K33" s="157"/>
      <c r="L33" s="157"/>
      <c r="M33" s="151">
        <f>IF(AND([0]!Godina=2024,MID(Osnovni_podaci!D20,3,1)="e",Osnovni_podaci!L24=5,Osnovni_podaci!G24=0,MID(Osnovni_podaci!D20,3,1)="e",MID(Osnovni_podaci!D20,8,1)="d"),SUM(K33,-L33),A1)</f>
        <v>0</v>
      </c>
      <c r="N33" s="576">
        <v>0</v>
      </c>
      <c r="P33" s="44"/>
    </row>
    <row r="34" spans="2:16" x14ac:dyDescent="0.2">
      <c r="B34" s="15">
        <v>14</v>
      </c>
      <c r="C34" s="361" t="str">
        <f>VLOOKUP( $B34, T_Aop[], 5, 1)</f>
        <v>025, 026, dio 029</v>
      </c>
      <c r="D34" s="617" t="str">
        <f>VLOOKUP( $B34, T_Aop[], 6, 1)</f>
        <v xml:space="preserve">    6. Avansi i nekretnine, postrojenja i oprema u pripremi</v>
      </c>
      <c r="E34" s="618"/>
      <c r="F34" s="618"/>
      <c r="G34" s="618"/>
      <c r="H34" s="619"/>
      <c r="I34" s="122">
        <f>VLOOKUP( $B34, T_Aop[], 4, 1)</f>
        <v>14</v>
      </c>
      <c r="J34" s="155"/>
      <c r="K34" s="155">
        <f>9846146+523500</f>
        <v>10369646</v>
      </c>
      <c r="L34" s="155"/>
      <c r="M34" s="152">
        <f>IF(AND([0]!Godina=2024,MID(Osnovni_podaci!D20,3,1)="e",Osnovni_podaci!L24=5,Osnovni_podaci!G24=0,MID(Osnovni_podaci!D20,3,1)="e",MID(Osnovni_podaci!D20,8,1)="d"),SUM(K34,-L34),A1)</f>
        <v>10369646</v>
      </c>
      <c r="N34" s="577">
        <v>10323568</v>
      </c>
      <c r="P34" s="44"/>
    </row>
    <row r="35" spans="2:16" ht="12.75" customHeight="1" x14ac:dyDescent="0.2">
      <c r="B35" s="15">
        <v>15</v>
      </c>
      <c r="C35" s="360" t="str">
        <f>VLOOKUP( $B35, T_Aop[], 5, 1)</f>
        <v>03</v>
      </c>
      <c r="D35" s="642" t="str">
        <f>VLOOKUP( $B35, T_Aop[], 6, 1)</f>
        <v xml:space="preserve">  III INVESTICIONE NEKRETNINE</v>
      </c>
      <c r="E35" s="643"/>
      <c r="F35" s="643"/>
      <c r="G35" s="643"/>
      <c r="H35" s="644"/>
      <c r="I35" s="170">
        <f>VLOOKUP( $B35, T_Aop[], 4, 1)</f>
        <v>15</v>
      </c>
      <c r="J35" s="157"/>
      <c r="K35" s="202">
        <v>413264</v>
      </c>
      <c r="L35" s="202">
        <v>4424</v>
      </c>
      <c r="M35" s="32">
        <f>IF(AND([0]!Godina=2024,MID(Osnovni_podaci!D20,3,1)="e",Osnovni_podaci!L24=5,Osnovni_podaci!G24=0,MID(Osnovni_podaci!D20,3,1)="e",MID(Osnovni_podaci!D20,8,1)="d"),SUM(K35,-L35),A1)</f>
        <v>408840</v>
      </c>
      <c r="N35" s="578">
        <v>289785</v>
      </c>
      <c r="P35" s="44"/>
    </row>
    <row r="36" spans="2:16" x14ac:dyDescent="0.2">
      <c r="B36" s="15">
        <v>16</v>
      </c>
      <c r="C36" s="361" t="str">
        <f>VLOOKUP( $B36, T_Aop[], 5, 1)</f>
        <v>04</v>
      </c>
      <c r="D36" s="623" t="str">
        <f>VLOOKUP( $B36, T_Aop[], 6, 1)</f>
        <v xml:space="preserve">  IV SREDSTVA UZETA U ZAKUP </v>
      </c>
      <c r="E36" s="624"/>
      <c r="F36" s="624"/>
      <c r="G36" s="624"/>
      <c r="H36" s="625"/>
      <c r="I36" s="171">
        <f>VLOOKUP( $B36, T_Aop[], 4, 1)</f>
        <v>16</v>
      </c>
      <c r="J36" s="155"/>
      <c r="K36" s="81">
        <f>201025-201025</f>
        <v>0</v>
      </c>
      <c r="L36" s="81">
        <f>18427-18427</f>
        <v>0</v>
      </c>
      <c r="M36" s="31">
        <f>IF(AND([0]!Godina=2024,MID(Osnovni_podaci!D20,3,1)="e",Osnovni_podaci!L24=5,Osnovni_podaci!G24=0,MID(Osnovni_podaci!D20,3,1)="e",MID(Osnovni_podaci!D20,8,1)="d"),SUM(K36,-L36),A1)</f>
        <v>0</v>
      </c>
      <c r="N36" s="579"/>
      <c r="P36" s="44"/>
    </row>
    <row r="37" spans="2:16" x14ac:dyDescent="0.2">
      <c r="B37" s="15">
        <v>17</v>
      </c>
      <c r="C37" s="360" t="str">
        <f>VLOOKUP( $B37, T_Aop[], 5, 1)</f>
        <v>05</v>
      </c>
      <c r="D37" s="642" t="str">
        <f>VLOOKUP( $B37, T_Aop[], 6, 1)</f>
        <v xml:space="preserve">  V BIOLOŠKA SREDSTVA   (018 do 021)</v>
      </c>
      <c r="E37" s="643"/>
      <c r="F37" s="643"/>
      <c r="G37" s="643"/>
      <c r="H37" s="644"/>
      <c r="I37" s="170">
        <f>VLOOKUP( $B37, T_Aop[], 4, 1)</f>
        <v>17</v>
      </c>
      <c r="J37" s="157"/>
      <c r="K37" s="32">
        <f>SUBTOTAL(9,K38:K41)</f>
        <v>0</v>
      </c>
      <c r="L37" s="32">
        <f>SUBTOTAL(9,L38:L41)</f>
        <v>0</v>
      </c>
      <c r="M37" s="32">
        <f>IF(AND([0]!Godina=2024,MID(Osnovni_podaci!D20,3,1)="e",Osnovni_podaci!L24=5,Osnovni_podaci!G24=0,MID(Osnovni_podaci!D20,3,1)="e",MID(Osnovni_podaci!D20,8,1)="d"),SUM(K37,-L37),A1)</f>
        <v>0</v>
      </c>
      <c r="N37" s="389">
        <f>SUBTOTAL(9,N38:N41)</f>
        <v>0</v>
      </c>
      <c r="P37" s="44"/>
    </row>
    <row r="38" spans="2:16" x14ac:dyDescent="0.2">
      <c r="B38" s="15">
        <v>18</v>
      </c>
      <c r="C38" s="361" t="str">
        <f>VLOOKUP( $B38, T_Aop[], 5, 1)</f>
        <v>050, dio 059</v>
      </c>
      <c r="D38" s="617" t="str">
        <f>VLOOKUP( $B38, T_Aop[], 6, 1)</f>
        <v xml:space="preserve">    1. Šume</v>
      </c>
      <c r="E38" s="618"/>
      <c r="F38" s="618"/>
      <c r="G38" s="618"/>
      <c r="H38" s="619"/>
      <c r="I38" s="122">
        <f>VLOOKUP( $B38, T_Aop[], 4, 1)</f>
        <v>18</v>
      </c>
      <c r="J38" s="155"/>
      <c r="K38" s="155"/>
      <c r="L38" s="155"/>
      <c r="M38" s="152">
        <f>IF(AND([0]!Godina=2024,MID(Osnovni_podaci!D20,3,1)="e",Osnovni_podaci!L24=5,Osnovni_podaci!G24=0,MID(Osnovni_podaci!D20,3,1)="e",MID(Osnovni_podaci!D20,8,1)="d"),SUM(K38,-L38),A1)</f>
        <v>0</v>
      </c>
      <c r="N38" s="192"/>
      <c r="P38" s="44"/>
    </row>
    <row r="39" spans="2:16" x14ac:dyDescent="0.2">
      <c r="B39" s="15">
        <v>19</v>
      </c>
      <c r="C39" s="360" t="str">
        <f>VLOOKUP( $B39, T_Aop[], 5, 1)</f>
        <v>051, dio 059</v>
      </c>
      <c r="D39" s="620" t="str">
        <f>VLOOKUP( $B39, T_Aop[], 6, 1)</f>
        <v xml:space="preserve">    2. Višegodišnji zasadi</v>
      </c>
      <c r="E39" s="621"/>
      <c r="F39" s="621"/>
      <c r="G39" s="621"/>
      <c r="H39" s="622"/>
      <c r="I39" s="121">
        <f>VLOOKUP( $B39, T_Aop[], 4, 1)</f>
        <v>19</v>
      </c>
      <c r="J39" s="157"/>
      <c r="K39" s="157"/>
      <c r="L39" s="157"/>
      <c r="M39" s="151">
        <f>IF(AND([0]!Godina=2024,MID(Osnovni_podaci!D20,3,1)="e",Osnovni_podaci!L24=5,Osnovni_podaci!G24=0,MID(Osnovni_podaci!D20,3,1)="e",MID(Osnovni_podaci!D20,8,1)="d"),SUM(K39,-L39),A1)</f>
        <v>0</v>
      </c>
      <c r="N39" s="193"/>
      <c r="P39" s="44"/>
    </row>
    <row r="40" spans="2:16" x14ac:dyDescent="0.2">
      <c r="B40" s="15">
        <v>20</v>
      </c>
      <c r="C40" s="361" t="str">
        <f>VLOOKUP( $B40, T_Aop[], 5, 1)</f>
        <v>052, 053 dio 059</v>
      </c>
      <c r="D40" s="617" t="str">
        <f>VLOOKUP( $B40, T_Aop[], 6, 1)</f>
        <v xml:space="preserve">    3. Osnovno stado i ostala biološka sredstva</v>
      </c>
      <c r="E40" s="618"/>
      <c r="F40" s="618"/>
      <c r="G40" s="618"/>
      <c r="H40" s="619"/>
      <c r="I40" s="122">
        <f>VLOOKUP( $B40, T_Aop[], 4, 1)</f>
        <v>20</v>
      </c>
      <c r="J40" s="155"/>
      <c r="K40" s="155"/>
      <c r="L40" s="155"/>
      <c r="M40" s="152">
        <f>IF(AND([0]!Godina=2024,MID(Osnovni_podaci!D20,3,1)="e",Osnovni_podaci!L24=5,Osnovni_podaci!G24=0,MID(Osnovni_podaci!D20,3,1)="e",MID(Osnovni_podaci!D20,8,1)="d"),SUM(K40,-L40),A1)</f>
        <v>0</v>
      </c>
      <c r="N40" s="192"/>
      <c r="P40" s="44"/>
    </row>
    <row r="41" spans="2:16" x14ac:dyDescent="0.2">
      <c r="B41" s="15">
        <v>21</v>
      </c>
      <c r="C41" s="360" t="str">
        <f>VLOOKUP( $B41, T_Aop[], 5, 1)</f>
        <v>055, 056 i dio 059</v>
      </c>
      <c r="D41" s="620" t="str">
        <f>VLOOKUP( $B41, T_Aop[], 6, 1)</f>
        <v xml:space="preserve">    4. Avansi i biološka sredstva u pripremi </v>
      </c>
      <c r="E41" s="621"/>
      <c r="F41" s="621"/>
      <c r="G41" s="621"/>
      <c r="H41" s="622"/>
      <c r="I41" s="121">
        <f>VLOOKUP( $B41, T_Aop[], 4, 1)</f>
        <v>21</v>
      </c>
      <c r="J41" s="157"/>
      <c r="K41" s="157"/>
      <c r="L41" s="157"/>
      <c r="M41" s="151">
        <f>IF(AND([0]!Godina=2024,MID(Osnovni_podaci!D20,3,1)="e",Osnovni_podaci!L24=5,Osnovni_podaci!G24=0,MID(Osnovni_podaci!D20,3,1)="e",MID(Osnovni_podaci!D20,8,1)="d"),SUM(K41,-L41),A1)</f>
        <v>0</v>
      </c>
      <c r="N41" s="193"/>
      <c r="P41" s="44"/>
    </row>
    <row r="42" spans="2:16" x14ac:dyDescent="0.2">
      <c r="B42" s="15">
        <v>22</v>
      </c>
      <c r="C42" s="361" t="str">
        <f>VLOOKUP( $B42, T_Aop[], 5, 1)</f>
        <v>06</v>
      </c>
      <c r="D42" s="623" t="str">
        <f>VLOOKUP( $B42, T_Aop[], 6, 1)</f>
        <v xml:space="preserve">  VI  DUGOROČNI FINANSIJSKI PLASMANI (023+024+025+030+033)</v>
      </c>
      <c r="E42" s="624"/>
      <c r="F42" s="624"/>
      <c r="G42" s="624"/>
      <c r="H42" s="625"/>
      <c r="I42" s="171">
        <f>VLOOKUP( $B42, T_Aop[], 4, 1)</f>
        <v>22</v>
      </c>
      <c r="J42" s="155"/>
      <c r="K42" s="31">
        <f>SUBTOTAL(9,K43:K53)</f>
        <v>946275</v>
      </c>
      <c r="L42" s="31">
        <f>SUBTOTAL(9,L43:L53)</f>
        <v>899005</v>
      </c>
      <c r="M42" s="31">
        <f>IF(AND([0]!Godina=2024,MID(Osnovni_podaci!D20,3,1)="e",Osnovni_podaci!L24=5,Osnovni_podaci!G24=0,MID(Osnovni_podaci!D20,3,1)="e",MID(Osnovni_podaci!D20,8,1)="d"),SUM(K42,-L42),A1)</f>
        <v>47270</v>
      </c>
      <c r="N42" s="34">
        <f>IF(AND([0]!Godina=2024,MID(Osnovni_podaci!D20,3,1)="e",Osnovni_podaci!L24=5,Osnovni_podaci!G24=0,MID(Osnovni_podaci!D20,3,1)="e",MID(Osnovni_podaci!D20,8,1)="d"),SUBTOTAL(9,N43:N53),A1)</f>
        <v>54873</v>
      </c>
      <c r="P42" s="44"/>
    </row>
    <row r="43" spans="2:16" x14ac:dyDescent="0.2">
      <c r="B43" s="15">
        <v>23</v>
      </c>
      <c r="C43" s="360" t="str">
        <f>VLOOKUP( $B43, T_Aop[], 5, 1)</f>
        <v>060, dio 069</v>
      </c>
      <c r="D43" s="620" t="str">
        <f>VLOOKUP( $B43, T_Aop[], 6, 1)</f>
        <v xml:space="preserve">    1. Učešće u kapitalu zavisnih subjekata</v>
      </c>
      <c r="E43" s="621"/>
      <c r="F43" s="621"/>
      <c r="G43" s="621"/>
      <c r="H43" s="622"/>
      <c r="I43" s="121">
        <f>VLOOKUP( $B43, T_Aop[], 4, 1)</f>
        <v>23</v>
      </c>
      <c r="J43" s="157"/>
      <c r="K43" s="157"/>
      <c r="L43" s="157"/>
      <c r="M43" s="151">
        <f>IF(AND([0]!Godina=2024,MID(Osnovni_podaci!D20,3,1)="e",Osnovni_podaci!L24=5,Osnovni_podaci!G24=0,MID(Osnovni_podaci!D20,3,1)="e",MID(Osnovni_podaci!D20,8,1)="d"),SUM(K43,-L43),A1)</f>
        <v>0</v>
      </c>
      <c r="N43" s="193"/>
      <c r="P43" s="44"/>
    </row>
    <row r="44" spans="2:16" x14ac:dyDescent="0.2">
      <c r="B44" s="15">
        <v>24</v>
      </c>
      <c r="C44" s="361" t="str">
        <f>VLOOKUP( $B44, T_Aop[], 5, 1)</f>
        <v>061, dio 069</v>
      </c>
      <c r="D44" s="617" t="str">
        <f>VLOOKUP( $B44, T_Aop[], 6, 1)</f>
        <v xml:space="preserve">    2. Učešće u kapitalu pridruženih subjekata i zajedničkih poduhvata</v>
      </c>
      <c r="E44" s="618"/>
      <c r="F44" s="618"/>
      <c r="G44" s="618"/>
      <c r="H44" s="619"/>
      <c r="I44" s="122">
        <f>VLOOKUP( $B44, T_Aop[], 4, 1)</f>
        <v>24</v>
      </c>
      <c r="J44" s="155"/>
      <c r="K44" s="155"/>
      <c r="L44" s="155"/>
      <c r="M44" s="152">
        <f>IF(AND([0]!Godina=2024,MID(Osnovni_podaci!D20,3,1)="e",Osnovni_podaci!L24=5,Osnovni_podaci!G24=0,MID(Osnovni_podaci!D20,3,1)="e",MID(Osnovni_podaci!D20,8,1)="d"),SUM(K44,-L44),A1)</f>
        <v>0</v>
      </c>
      <c r="N44" s="192"/>
      <c r="P44" s="44"/>
    </row>
    <row r="45" spans="2:16" x14ac:dyDescent="0.2">
      <c r="B45" s="15">
        <v>25</v>
      </c>
      <c r="C45" s="360" t="str">
        <f>VLOOKUP( $B45, T_Aop[], 5, 1)</f>
        <v>dio 06</v>
      </c>
      <c r="D45" s="620" t="str">
        <f>VLOOKUP( $B45, T_Aop[], 6, 1)</f>
        <v xml:space="preserve">    3. Finansijska sredstva po amortizovanoj vrijednosti (026 do 029)</v>
      </c>
      <c r="E45" s="621"/>
      <c r="F45" s="621"/>
      <c r="G45" s="621"/>
      <c r="H45" s="622"/>
      <c r="I45" s="121">
        <f>VLOOKUP( $B45, T_Aop[], 4, 1)</f>
        <v>25</v>
      </c>
      <c r="J45" s="157"/>
      <c r="K45" s="32">
        <f>SUBTOTAL(9,K46:K49)</f>
        <v>899005</v>
      </c>
      <c r="L45" s="32">
        <f>SUBTOTAL(9,L46:L49)</f>
        <v>899005</v>
      </c>
      <c r="M45" s="202">
        <f>IF(AND([0]!Godina=2024,MID(Osnovni_podaci!D20,3,1)="e",Osnovni_podaci!L24=5,Osnovni_podaci!G24=0,MID(Osnovni_podaci!D20,3,1)="e",MID(Osnovni_podaci!D20,8,1)="d"),SUM(K45,-L45),A1)</f>
        <v>0</v>
      </c>
      <c r="N45" s="390">
        <f>IF(AND([0]!Godina=2024,MID(Osnovni_podaci!D20,3,1)="e",Osnovni_podaci!L24=5,Osnovni_podaci!G24=0,MID(Osnovni_podaci!D20,3,1)="e",MID(Osnovni_podaci!D20,8,1)="d"),SUBTOTAL(9,N46:N49),A1)</f>
        <v>0</v>
      </c>
      <c r="P45" s="44"/>
    </row>
    <row r="46" spans="2:16" x14ac:dyDescent="0.2">
      <c r="B46" s="15">
        <v>26</v>
      </c>
      <c r="C46" s="361" t="str">
        <f>VLOOKUP( $B46, T_Aop[], 5, 1)</f>
        <v>062, dio 069</v>
      </c>
      <c r="D46" s="617" t="str">
        <f>VLOOKUP( $B46, T_Aop[], 6, 1)</f>
        <v xml:space="preserve">      3.1. Dugoročni krediti povezanim pravnim licima</v>
      </c>
      <c r="E46" s="618"/>
      <c r="F46" s="618"/>
      <c r="G46" s="618"/>
      <c r="H46" s="619"/>
      <c r="I46" s="122">
        <f>VLOOKUP( $B46, T_Aop[], 4, 1)</f>
        <v>26</v>
      </c>
      <c r="J46" s="155"/>
      <c r="K46" s="155"/>
      <c r="L46" s="155"/>
      <c r="M46" s="152">
        <f>IF(AND([0]!Godina=2024,MID(Osnovni_podaci!D20,3,1)="e",Osnovni_podaci!L24=5,Osnovni_podaci!G24=0,MID(Osnovni_podaci!D20,3,1)="e",MID(Osnovni_podaci!D20,8,1)="d"),SUM(K46,-L46),A1)</f>
        <v>0</v>
      </c>
      <c r="N46" s="192"/>
      <c r="P46" s="44"/>
    </row>
    <row r="47" spans="2:16" x14ac:dyDescent="0.2">
      <c r="B47" s="15">
        <v>27</v>
      </c>
      <c r="C47" s="360" t="str">
        <f>VLOOKUP( $B47, T_Aop[], 5, 1)</f>
        <v>063, dio 069</v>
      </c>
      <c r="D47" s="620" t="str">
        <f>VLOOKUP( $B47, T_Aop[], 6, 1)</f>
        <v xml:space="preserve">      3.2. Dugoročni krediti u zemlji</v>
      </c>
      <c r="E47" s="621"/>
      <c r="F47" s="621"/>
      <c r="G47" s="621"/>
      <c r="H47" s="622"/>
      <c r="I47" s="121">
        <f>VLOOKUP( $B47, T_Aop[], 4, 1)</f>
        <v>27</v>
      </c>
      <c r="J47" s="157"/>
      <c r="K47" s="157">
        <v>899005</v>
      </c>
      <c r="L47" s="157">
        <v>899005</v>
      </c>
      <c r="M47" s="151">
        <f>IF(AND([0]!Godina=2024,MID(Osnovni_podaci!D20,3,1)="e",Osnovni_podaci!L24=5,Osnovni_podaci!G24=0,MID(Osnovni_podaci!D20,3,1)="e",MID(Osnovni_podaci!D20,8,1)="d"),SUM(K47,-L47),A1)</f>
        <v>0</v>
      </c>
      <c r="N47" s="193"/>
      <c r="P47" s="44"/>
    </row>
    <row r="48" spans="2:16" x14ac:dyDescent="0.2">
      <c r="B48" s="15">
        <v>28</v>
      </c>
      <c r="C48" s="361" t="str">
        <f>VLOOKUP( $B48, T_Aop[], 5, 1)</f>
        <v>064, dio 069</v>
      </c>
      <c r="D48" s="617" t="str">
        <f>VLOOKUP( $B48, T_Aop[], 6, 1)</f>
        <v xml:space="preserve">      3.3. Dugoročni krediti u inostranstvu</v>
      </c>
      <c r="E48" s="618"/>
      <c r="F48" s="618"/>
      <c r="G48" s="618"/>
      <c r="H48" s="619"/>
      <c r="I48" s="122">
        <f>VLOOKUP( $B48, T_Aop[], 4, 1)</f>
        <v>28</v>
      </c>
      <c r="J48" s="155"/>
      <c r="K48" s="155"/>
      <c r="L48" s="155"/>
      <c r="M48" s="152">
        <f>IF(AND([0]!Godina=2024,MID(Osnovni_podaci!D20,3,1)="e",Osnovni_podaci!L24=5,Osnovni_podaci!G24=0,MID(Osnovni_podaci!D20,3,1)="e",MID(Osnovni_podaci!D20,8,1)="d"),SUM(K48,-L48),A1)</f>
        <v>0</v>
      </c>
      <c r="N48" s="192"/>
      <c r="P48" s="44"/>
    </row>
    <row r="49" spans="2:16" x14ac:dyDescent="0.2">
      <c r="B49" s="15">
        <v>29</v>
      </c>
      <c r="C49" s="360" t="str">
        <f>VLOOKUP( $B49, T_Aop[], 5, 1)</f>
        <v>065, dio 069</v>
      </c>
      <c r="D49" s="620" t="str">
        <f>VLOOKUP( $B49, T_Aop[], 6, 1)</f>
        <v xml:space="preserve">      3.4. Ostala finansijska sredstva po amortizovanoj vrijednosti</v>
      </c>
      <c r="E49" s="621"/>
      <c r="F49" s="621"/>
      <c r="G49" s="621"/>
      <c r="H49" s="622"/>
      <c r="I49" s="121">
        <f>VLOOKUP( $B49, T_Aop[], 4, 1)</f>
        <v>29</v>
      </c>
      <c r="J49" s="157"/>
      <c r="K49" s="157"/>
      <c r="L49" s="157"/>
      <c r="M49" s="151">
        <f>IF(AND([0]!Godina=2024,MID(Osnovni_podaci!D20,3,1)="e",Osnovni_podaci!L24=5,Osnovni_podaci!G24=0,MID(Osnovni_podaci!D20,3,1)="e",MID(Osnovni_podaci!D20,8,1)="d"),SUM(K49,-L49),A1)</f>
        <v>0</v>
      </c>
      <c r="N49" s="394"/>
      <c r="P49" s="44"/>
    </row>
    <row r="50" spans="2:16" ht="21.75" customHeight="1" x14ac:dyDescent="0.2">
      <c r="B50" s="15">
        <v>30</v>
      </c>
      <c r="C50" s="361" t="str">
        <f>VLOOKUP( $B50, T_Aop[], 5, 1)</f>
        <v>dio 06</v>
      </c>
      <c r="D50" s="617" t="str">
        <f>VLOOKUP( $B50, T_Aop[], 6, 1)</f>
        <v xml:space="preserve">    4. Finansijska sredstva po fer vrijednosti kroz ostali ukupan rezultat (031+032)</v>
      </c>
      <c r="E50" s="618"/>
      <c r="F50" s="618"/>
      <c r="G50" s="618"/>
      <c r="H50" s="619"/>
      <c r="I50" s="122">
        <f>VLOOKUP( $B50, T_Aop[], 4, 1)</f>
        <v>30</v>
      </c>
      <c r="J50" s="155"/>
      <c r="K50" s="388">
        <f>SUBTOTAL( 9, K51:K52)</f>
        <v>47270</v>
      </c>
      <c r="L50" s="388">
        <f>SUBTOTAL( 9, L51:L52)</f>
        <v>0</v>
      </c>
      <c r="M50" s="31">
        <f>IF(AND([0]!Godina=2024,MID(Osnovni_podaci!D20,3,1)="e",Osnovni_podaci!L24=5,Osnovni_podaci!G24=0,MID(Osnovni_podaci!D20,3,1)="e",MID(Osnovni_podaci!D20,8,1)="d"),SUM(K50,-L50),A1)</f>
        <v>47270</v>
      </c>
      <c r="N50" s="239">
        <f>IF(AND([0]!Godina=2024,MID(Osnovni_podaci!D20,3,1)="e",Osnovni_podaci!L24=5,Osnovni_podaci!G24=0,MID(Osnovni_podaci!D20,3,1)="e",MID(Osnovni_podaci!D20,8,1)="d"),SUBTOTAL( 9, N51:N52),A1)</f>
        <v>54873</v>
      </c>
      <c r="P50" s="44"/>
    </row>
    <row r="51" spans="2:16" x14ac:dyDescent="0.2">
      <c r="B51" s="15">
        <v>31</v>
      </c>
      <c r="C51" s="360" t="str">
        <f>VLOOKUP( $B51, T_Aop[], 5, 1)</f>
        <v>066, dio 069</v>
      </c>
      <c r="D51" s="620" t="str">
        <f>VLOOKUP( $B51, T_Aop[], 6, 1)</f>
        <v xml:space="preserve">      4.1. Vlasnički instrumenti</v>
      </c>
      <c r="E51" s="621"/>
      <c r="F51" s="621"/>
      <c r="G51" s="621"/>
      <c r="H51" s="622"/>
      <c r="I51" s="121">
        <f>VLOOKUP( $B51, T_Aop[], 4, 1)</f>
        <v>31</v>
      </c>
      <c r="J51" s="157"/>
      <c r="K51" s="237"/>
      <c r="L51" s="237"/>
      <c r="M51" s="151">
        <f>IF(AND([0]!Godina=2024,MID(Osnovni_podaci!D20,3,1)="e",Osnovni_podaci!L24=5,Osnovni_podaci!G24=0,MID(Osnovni_podaci!D20,3,1)="e",MID(Osnovni_podaci!D20,8,1)="d"),SUM(K51,-L51),A1)</f>
        <v>0</v>
      </c>
      <c r="N51" s="394"/>
      <c r="P51" s="44"/>
    </row>
    <row r="52" spans="2:16" x14ac:dyDescent="0.2">
      <c r="B52" s="15">
        <v>32</v>
      </c>
      <c r="C52" s="361" t="str">
        <f>VLOOKUP( $B52, T_Aop[], 5, 1)</f>
        <v>067, dio 069</v>
      </c>
      <c r="D52" s="617" t="str">
        <f>VLOOKUP( $B52, T_Aop[], 6, 1)</f>
        <v xml:space="preserve">      4.2. Dužnički instrumenti</v>
      </c>
      <c r="E52" s="618"/>
      <c r="F52" s="618"/>
      <c r="G52" s="618"/>
      <c r="H52" s="619"/>
      <c r="I52" s="122">
        <f>VLOOKUP( $B52, T_Aop[], 4, 1)</f>
        <v>32</v>
      </c>
      <c r="J52" s="155"/>
      <c r="K52" s="155">
        <v>47270</v>
      </c>
      <c r="L52" s="155"/>
      <c r="M52" s="152">
        <f>IF(AND([0]!Godina=2024,MID(Osnovni_podaci!D20,3,1)="e",Osnovni_podaci!L24=5,Osnovni_podaci!G24=0,MID(Osnovni_podaci!D20,3,1)="e",MID(Osnovni_podaci!D20,8,1)="d"),SUM(K52,-L52),A1)</f>
        <v>47270</v>
      </c>
      <c r="N52" s="577">
        <v>54873</v>
      </c>
      <c r="P52" s="44"/>
    </row>
    <row r="53" spans="2:16" x14ac:dyDescent="0.2">
      <c r="B53" s="15">
        <v>33</v>
      </c>
      <c r="C53" s="360" t="str">
        <f>VLOOKUP( $B53, T_Aop[], 5, 1)</f>
        <v>068, dio 069</v>
      </c>
      <c r="D53" s="620" t="str">
        <f>VLOOKUP( $B53, T_Aop[], 6, 1)</f>
        <v xml:space="preserve">    5. Potraživanja po finansijskom lizingu</v>
      </c>
      <c r="E53" s="621"/>
      <c r="F53" s="621"/>
      <c r="G53" s="621"/>
      <c r="H53" s="622"/>
      <c r="I53" s="121">
        <f>VLOOKUP( $B53, T_Aop[], 4, 1)</f>
        <v>33</v>
      </c>
      <c r="J53" s="157"/>
      <c r="K53" s="583"/>
      <c r="L53" s="237"/>
      <c r="M53" s="151">
        <f>IF(AND([0]!Godina=2024,MID(Osnovni_podaci!D20,3,1)="e",Osnovni_podaci!L24=5,Osnovni_podaci!G24=0,MID(Osnovni_podaci!D20,3,1)="e",MID(Osnovni_podaci!D20,8,1)="d"),SUM(K53,-L53),A1)</f>
        <v>0</v>
      </c>
      <c r="N53" s="394"/>
      <c r="P53" s="44"/>
    </row>
    <row r="54" spans="2:16" x14ac:dyDescent="0.2">
      <c r="B54" s="15">
        <v>34</v>
      </c>
      <c r="C54" s="361" t="str">
        <f>VLOOKUP( $B54, T_Aop[], 5, 1)</f>
        <v>07 i 08</v>
      </c>
      <c r="D54" s="623" t="str">
        <f>VLOOKUP( $B54, T_Aop[], 6, 1)</f>
        <v xml:space="preserve">  VII OSTALA DUGOROČNA SREDSTVA I RAZGRANIČENJA</v>
      </c>
      <c r="E54" s="624"/>
      <c r="F54" s="624"/>
      <c r="G54" s="624"/>
      <c r="H54" s="625"/>
      <c r="I54" s="171">
        <f>VLOOKUP( $B54, T_Aop[], 4, 1)</f>
        <v>34</v>
      </c>
      <c r="J54" s="155"/>
      <c r="K54" s="81"/>
      <c r="L54" s="81"/>
      <c r="M54" s="31">
        <f>IF(AND([0]!Godina=2024,MID(Osnovni_podaci!D20,3,1)="e",Osnovni_podaci!L24=5,Osnovni_podaci!G24=0,MID(Osnovni_podaci!D20,3,1)="e",MID(Osnovni_podaci!D20,8,1)="d"),SUM(K54,-L54),A1)</f>
        <v>0</v>
      </c>
      <c r="N54" s="396"/>
      <c r="P54" s="44"/>
    </row>
    <row r="55" spans="2:16" x14ac:dyDescent="0.2">
      <c r="B55" s="15">
        <v>35</v>
      </c>
      <c r="C55" s="360" t="str">
        <f>VLOOKUP( $B55, T_Aop[], 5, 1)</f>
        <v>090</v>
      </c>
      <c r="D55" s="642" t="str">
        <f>VLOOKUP( $B55, T_Aop[], 6, 1)</f>
        <v xml:space="preserve">  B. ODLOŽENA PORESKA SREDSTVA</v>
      </c>
      <c r="E55" s="643"/>
      <c r="F55" s="643"/>
      <c r="G55" s="643"/>
      <c r="H55" s="644"/>
      <c r="I55" s="170">
        <f>VLOOKUP( $B55, T_Aop[], 4, 1)</f>
        <v>35</v>
      </c>
      <c r="J55" s="157"/>
      <c r="K55" s="202">
        <v>120285</v>
      </c>
      <c r="L55" s="202"/>
      <c r="M55" s="32">
        <f>IF(AND([0]!Godina=2024,MID(Osnovni_podaci!D20,3,1)="e",Osnovni_podaci!L24=5,Osnovni_podaci!G24=0,MID(Osnovni_podaci!D20,3,1)="e",MID(Osnovni_podaci!D20,8,1)="d"),SUM(K55,-L55),A1)</f>
        <v>120285</v>
      </c>
      <c r="N55" s="578">
        <v>120285</v>
      </c>
      <c r="P55" s="44"/>
    </row>
    <row r="56" spans="2:16" x14ac:dyDescent="0.2">
      <c r="B56" s="15">
        <v>36</v>
      </c>
      <c r="C56" s="361" t="str">
        <f>VLOOKUP( $B56, T_Aop[], 5, 1)</f>
        <v xml:space="preserve"> </v>
      </c>
      <c r="D56" s="623" t="str">
        <f>VLOOKUP( $B56, T_Aop[], 6, 1)</f>
        <v xml:space="preserve">  V. TEKUĆA SREDSTVA (037+044)</v>
      </c>
      <c r="E56" s="624"/>
      <c r="F56" s="624"/>
      <c r="G56" s="624"/>
      <c r="H56" s="625"/>
      <c r="I56" s="171">
        <f>VLOOKUP( $B56, T_Aop[], 4, 1)</f>
        <v>36</v>
      </c>
      <c r="J56" s="155"/>
      <c r="K56" s="430">
        <f>SUBTOTAL( 9, K57:K85)</f>
        <v>61515872</v>
      </c>
      <c r="L56" s="430">
        <f>SUBTOTAL( 9, L57:L85)</f>
        <v>49668978</v>
      </c>
      <c r="M56" s="430">
        <f>IF(AND([0]!Godina=2024,MID(Osnovni_podaci!D20,3,1)="e",Osnovni_podaci!L24=5,Osnovni_podaci!G24=0,MID(Osnovni_podaci!D20,3,1)="e",MID(Osnovni_podaci!D20,8,1)="d"),SUM(K56,-L56),A1)</f>
        <v>11846894</v>
      </c>
      <c r="N56" s="431">
        <f>IF(AND([0]!Godina=2024,MID(Osnovni_podaci!D20,3,1)="e",Osnovni_podaci!L24=5,Osnovni_podaci!G24=0,MID(Osnovni_podaci!D20,3,1)="e",MID(Osnovni_podaci!D20,8,1)="d"),SUBTOTAL( 9, N57:N85),A1)</f>
        <v>12969864</v>
      </c>
      <c r="P56" s="44"/>
    </row>
    <row r="57" spans="2:16" ht="25.5" customHeight="1" x14ac:dyDescent="0.2">
      <c r="B57" s="15">
        <v>37</v>
      </c>
      <c r="C57" s="360" t="str">
        <f>VLOOKUP( $B57, T_Aop[], 5, 1)</f>
        <v>10 do 15</v>
      </c>
      <c r="D57" s="642" t="str">
        <f>VLOOKUP( $B57, T_Aop[], 6, 1)</f>
        <v xml:space="preserve">  I   ZALIHE, STALNA SREDSTVA NAMIJENJENA PRODAJI I SREDSTVA POSLOVANJA KOJE SE OBUSTAVLJA (038 do 043)</v>
      </c>
      <c r="E57" s="643"/>
      <c r="F57" s="643"/>
      <c r="G57" s="643"/>
      <c r="H57" s="644"/>
      <c r="I57" s="170">
        <f>VLOOKUP( $B57, T_Aop[], 4, 1)</f>
        <v>37</v>
      </c>
      <c r="J57" s="157"/>
      <c r="K57" s="393">
        <f>SUBTOTAL(9,K58:K63)</f>
        <v>5164846</v>
      </c>
      <c r="L57" s="392">
        <f>SUBTOTAL(9,L58:L63)</f>
        <v>1316186</v>
      </c>
      <c r="M57" s="32">
        <f>IF(AND([0]!Godina=2024,MID(Osnovni_podaci!D20,3,1)="e",Osnovni_podaci!L24=5,Osnovni_podaci!G24=0,MID(Osnovni_podaci!D20,3,1)="e",MID(Osnovni_podaci!D20,8,1)="d"),SUM(K57,-L57),A1)</f>
        <v>3848660</v>
      </c>
      <c r="N57" s="389">
        <f>IF(AND([0]!Godina=2024,MID(Osnovni_podaci!D20,3,1)="e",Osnovni_podaci!L24=5,Osnovni_podaci!G24=0,MID(Osnovni_podaci!D20,3,1)="e",MID(Osnovni_podaci!D20,8,1)="d"),SUBTOTAL(9,N58:N63),A1)</f>
        <v>3403605</v>
      </c>
      <c r="P57" s="44"/>
    </row>
    <row r="58" spans="2:16" x14ac:dyDescent="0.2">
      <c r="B58" s="15">
        <v>38</v>
      </c>
      <c r="C58" s="361" t="str">
        <f>VLOOKUP( $B58, T_Aop[], 5, 1)</f>
        <v>100 do 109</v>
      </c>
      <c r="D58" s="617" t="str">
        <f>VLOOKUP( $B58, T_Aop[], 6, 1)</f>
        <v xml:space="preserve">    1. Zalihe materijala</v>
      </c>
      <c r="E58" s="618"/>
      <c r="F58" s="618"/>
      <c r="G58" s="618"/>
      <c r="H58" s="619"/>
      <c r="I58" s="122">
        <f>VLOOKUP( $B58, T_Aop[], 4, 1)</f>
        <v>38</v>
      </c>
      <c r="J58" s="155"/>
      <c r="K58" s="155">
        <f>5048467+21737</f>
        <v>5070204</v>
      </c>
      <c r="L58" s="155">
        <f>1229761+10098</f>
        <v>1239859</v>
      </c>
      <c r="M58" s="152">
        <f>IF(AND([0]!Godina=2024,MID(Osnovni_podaci!D20,3,1)="e",Osnovni_podaci!L24=5,Osnovni_podaci!G24=0,MID(Osnovni_podaci!D20,3,1)="e",MID(Osnovni_podaci!D20,8,1)="d"),SUM(K58,-L58),A1)</f>
        <v>3830345</v>
      </c>
      <c r="N58" s="577">
        <v>3385290</v>
      </c>
      <c r="P58" s="44"/>
    </row>
    <row r="59" spans="2:16" x14ac:dyDescent="0.2">
      <c r="B59" s="15">
        <v>39</v>
      </c>
      <c r="C59" s="360" t="str">
        <f>VLOOKUP( $B59, T_Aop[], 5, 1)</f>
        <v>110 do 119</v>
      </c>
      <c r="D59" s="620" t="str">
        <f>VLOOKUP( $B59, T_Aop[], 6, 1)</f>
        <v xml:space="preserve">    2. Zalihe nedovršene proizvodnje, poluproizvoda i nedovršenih usluga</v>
      </c>
      <c r="E59" s="621"/>
      <c r="F59" s="621"/>
      <c r="G59" s="621"/>
      <c r="H59" s="622"/>
      <c r="I59" s="121">
        <f>VLOOKUP( $B59, T_Aop[], 4, 1)</f>
        <v>39</v>
      </c>
      <c r="J59" s="157"/>
      <c r="K59" s="157"/>
      <c r="L59" s="157"/>
      <c r="M59" s="151">
        <f>IF(AND([0]!Godina=2024,MID(Osnovni_podaci!D20,3,1)="e",Osnovni_podaci!L24=5,Osnovni_podaci!G24=0,MID(Osnovni_podaci!D20,3,1)="e",MID(Osnovni_podaci!D20,8,1)="d"),SUM(K59,-L59),A1)</f>
        <v>0</v>
      </c>
      <c r="N59" s="576">
        <v>0</v>
      </c>
      <c r="P59" s="44"/>
    </row>
    <row r="60" spans="2:16" x14ac:dyDescent="0.2">
      <c r="B60" s="15">
        <v>40</v>
      </c>
      <c r="C60" s="361" t="str">
        <f>VLOOKUP( $B60, T_Aop[], 5, 1)</f>
        <v>120 do 129</v>
      </c>
      <c r="D60" s="617" t="str">
        <f>VLOOKUP( $B60, T_Aop[], 6, 1)</f>
        <v xml:space="preserve">    3. Zalihe gotovih proizvoda</v>
      </c>
      <c r="E60" s="618"/>
      <c r="F60" s="618"/>
      <c r="G60" s="618"/>
      <c r="H60" s="619"/>
      <c r="I60" s="122">
        <f>VLOOKUP( $B60, T_Aop[], 4, 1)</f>
        <v>40</v>
      </c>
      <c r="J60" s="155"/>
      <c r="K60" s="155"/>
      <c r="L60" s="155"/>
      <c r="M60" s="152">
        <f>IF(AND([0]!Godina=2024,MID(Osnovni_podaci!D20,3,1)="e",Osnovni_podaci!L24=5,Osnovni_podaci!G24=0,MID(Osnovni_podaci!D20,3,1)="e",MID(Osnovni_podaci!D20,8,1)="d"),SUM(K60,-L60),A1)</f>
        <v>0</v>
      </c>
      <c r="N60" s="577">
        <v>0</v>
      </c>
      <c r="P60" s="44"/>
    </row>
    <row r="61" spans="2:16" s="27" customFormat="1" x14ac:dyDescent="0.2">
      <c r="B61" s="15">
        <v>41</v>
      </c>
      <c r="C61" s="360" t="str">
        <f>VLOOKUP( $B61, T_Aop[], 5, 1)</f>
        <v>130 do 139</v>
      </c>
      <c r="D61" s="620" t="str">
        <f>VLOOKUP( $B61, T_Aop[], 6, 1)</f>
        <v xml:space="preserve">    4. Zalihe robe</v>
      </c>
      <c r="E61" s="621"/>
      <c r="F61" s="621"/>
      <c r="G61" s="621"/>
      <c r="H61" s="622"/>
      <c r="I61" s="121">
        <f>VLOOKUP( $B61, T_Aop[], 4, 1)</f>
        <v>41</v>
      </c>
      <c r="J61" s="157"/>
      <c r="K61" s="157"/>
      <c r="L61" s="157"/>
      <c r="M61" s="151">
        <f>IF(AND([0]!Godina=2024,MID(Osnovni_podaci!D20,3,1)="e",Osnovni_podaci!L24=5,Osnovni_podaci!G24=0,MID(Osnovni_podaci!D20,3,1)="e",MID(Osnovni_podaci!D20,8,1)="d"),SUM(K61,-L61),A1)</f>
        <v>0</v>
      </c>
      <c r="N61" s="576">
        <v>0</v>
      </c>
      <c r="P61" s="174"/>
    </row>
    <row r="62" spans="2:16" x14ac:dyDescent="0.2">
      <c r="B62" s="15">
        <v>42</v>
      </c>
      <c r="C62" s="361" t="str">
        <f>VLOOKUP( $B62, T_Aop[], 5, 1)</f>
        <v>140 do 149</v>
      </c>
      <c r="D62" s="617" t="str">
        <f>VLOOKUP( $B62, T_Aop[], 6, 1)</f>
        <v xml:space="preserve">    5. Stalna sredstva namijenjena prodaji i sredstva poslovanja koje se obustavlja</v>
      </c>
      <c r="E62" s="618"/>
      <c r="F62" s="618"/>
      <c r="G62" s="618"/>
      <c r="H62" s="619"/>
      <c r="I62" s="122">
        <f>VLOOKUP( $B62, T_Aop[], 4, 1)</f>
        <v>42</v>
      </c>
      <c r="J62" s="155"/>
      <c r="K62" s="155"/>
      <c r="L62" s="155"/>
      <c r="M62" s="152">
        <f>IF(AND([0]!Godina=2024,MID(Osnovni_podaci!D20,3,1)="e",Osnovni_podaci!L24=5,Osnovni_podaci!G24=0,MID(Osnovni_podaci!D20,3,1)="e",MID(Osnovni_podaci!D20,8,1)="d"),SUM(K62,-L62),A1)</f>
        <v>0</v>
      </c>
      <c r="N62" s="577">
        <v>0</v>
      </c>
      <c r="P62" s="44"/>
    </row>
    <row r="63" spans="2:16" x14ac:dyDescent="0.2">
      <c r="B63" s="15">
        <v>43</v>
      </c>
      <c r="C63" s="360" t="str">
        <f>VLOOKUP( $B63, T_Aop[], 5, 1)</f>
        <v>150 do 159</v>
      </c>
      <c r="D63" s="620" t="str">
        <f>VLOOKUP( $B63, T_Aop[], 6, 1)</f>
        <v xml:space="preserve">    6. Dati avansi</v>
      </c>
      <c r="E63" s="621"/>
      <c r="F63" s="621"/>
      <c r="G63" s="621"/>
      <c r="H63" s="622"/>
      <c r="I63" s="121">
        <f>VLOOKUP( $B63, T_Aop[], 4, 1)</f>
        <v>43</v>
      </c>
      <c r="J63" s="157"/>
      <c r="K63" s="157">
        <v>94642</v>
      </c>
      <c r="L63" s="157">
        <v>76327</v>
      </c>
      <c r="M63" s="151">
        <f>IF(AND([0]!Godina=2024,MID(Osnovni_podaci!D20,3,1)="e",Osnovni_podaci!L24=5,Osnovni_podaci!G24=0,MID(Osnovni_podaci!D20,3,1)="e",MID(Osnovni_podaci!D20,8,1)="d"),SUM(K63,-L63),A1)</f>
        <v>18315</v>
      </c>
      <c r="N63" s="576">
        <v>18315</v>
      </c>
      <c r="P63" s="44"/>
    </row>
    <row r="64" spans="2:16" ht="23.25" customHeight="1" x14ac:dyDescent="0.2">
      <c r="B64" s="15">
        <v>44</v>
      </c>
      <c r="C64" s="361" t="str">
        <f>VLOOKUP( $B64, T_Aop[], 5, 1)</f>
        <v xml:space="preserve"> </v>
      </c>
      <c r="D64" s="623" t="str">
        <f>VLOOKUP( $B64, T_Aop[], 6, 1)</f>
        <v xml:space="preserve">  II  KRATKOROČNA SREDSTVA IZUZEV ZALIHA I STALNIH SREDSTAVA NAMIJENJENIH PRODAJI (045+052+061+064+065)</v>
      </c>
      <c r="E64" s="624"/>
      <c r="F64" s="624"/>
      <c r="G64" s="624"/>
      <c r="H64" s="625"/>
      <c r="I64" s="171">
        <f>VLOOKUP( $B64, T_Aop[], 4, 1)</f>
        <v>44</v>
      </c>
      <c r="J64" s="155"/>
      <c r="K64" s="430">
        <f>SUBTOTAL(9,K65:K85)</f>
        <v>56351026</v>
      </c>
      <c r="L64" s="430">
        <f>SUBTOTAL(9,L65:L85)</f>
        <v>48352792</v>
      </c>
      <c r="M64" s="430">
        <f>IF(AND([0]!Godina=2024,MID(Osnovni_podaci!D20,3,1)="e",Osnovni_podaci!L24=5,Osnovni_podaci!G24=0,MID(Osnovni_podaci!D20,3,1)="e",MID(Osnovni_podaci!D20,8,1)="d"),SUM(K64,-L64),A1)</f>
        <v>7998234</v>
      </c>
      <c r="N64" s="431">
        <f>IF(AND([0]!Godina=2024,MID(Osnovni_podaci!D20,3,1)="e",Osnovni_podaci!L24=5,Osnovni_podaci!G24=0,MID(Osnovni_podaci!D20,3,1)="e",MID(Osnovni_podaci!D20,8,1)="d"),SUBTOTAL(9,N65:N85),A1)</f>
        <v>9566259</v>
      </c>
      <c r="P64" s="44"/>
    </row>
    <row r="65" spans="2:16" x14ac:dyDescent="0.2">
      <c r="B65" s="15">
        <v>45</v>
      </c>
      <c r="C65" s="360" t="str">
        <f>VLOOKUP( $B65, T_Aop[], 5, 1)</f>
        <v xml:space="preserve"> </v>
      </c>
      <c r="D65" s="620" t="str">
        <f>VLOOKUP( $B65, T_Aop[], 6, 1)</f>
        <v xml:space="preserve">    1. Kratkoročna potraživanja (046 do 051)</v>
      </c>
      <c r="E65" s="621"/>
      <c r="F65" s="621"/>
      <c r="G65" s="621"/>
      <c r="H65" s="622"/>
      <c r="I65" s="121">
        <f>VLOOKUP( $B65, T_Aop[], 4, 1)</f>
        <v>45</v>
      </c>
      <c r="J65" s="157"/>
      <c r="K65" s="393">
        <f t="shared" ref="K65:L65" si="0">SUBTOTAL(9,K66:K71)</f>
        <v>52879443</v>
      </c>
      <c r="L65" s="393">
        <f t="shared" si="0"/>
        <v>48103812</v>
      </c>
      <c r="M65" s="393">
        <f>IF(AND([0]!Godina=2024,MID(Osnovni_podaci!D20,3,1)="e",Osnovni_podaci!L24=5,Osnovni_podaci!G24=0,MID(Osnovni_podaci!D20,3,1)="e",MID(Osnovni_podaci!D20,8,1)="d"),SUM(K65,-L65),A1)</f>
        <v>4775631</v>
      </c>
      <c r="N65" s="389">
        <f>IF(AND([0]!Godina=2024,MID(Osnovni_podaci!D20,3,1)="e",Osnovni_podaci!L24=5,Osnovni_podaci!G24=0,MID(Osnovni_podaci!D20,3,1)="e",MID(Osnovni_podaci!D20,8,1)="d"),SUBTOTAL(9,N66:N71),A1)</f>
        <v>5188300</v>
      </c>
      <c r="P65" s="44"/>
    </row>
    <row r="66" spans="2:16" x14ac:dyDescent="0.2">
      <c r="B66" s="15">
        <v>46</v>
      </c>
      <c r="C66" s="361" t="str">
        <f>VLOOKUP( $B66, T_Aop[], 5, 1)</f>
        <v>200, dio 209</v>
      </c>
      <c r="D66" s="617" t="str">
        <f>VLOOKUP( $B66, T_Aop[], 6, 1)</f>
        <v xml:space="preserve">      1.1. Kupci - povezana pravna lica</v>
      </c>
      <c r="E66" s="618"/>
      <c r="F66" s="618"/>
      <c r="G66" s="618"/>
      <c r="H66" s="619"/>
      <c r="I66" s="122">
        <f>VLOOKUP( $B66, T_Aop[], 4, 1)</f>
        <v>46</v>
      </c>
      <c r="J66" s="155"/>
      <c r="K66" s="155">
        <f>3798512+872130-11700</f>
        <v>4658942</v>
      </c>
      <c r="L66" s="155">
        <f>35999+14514</f>
        <v>50513</v>
      </c>
      <c r="M66" s="152">
        <f>IF(AND([0]!Godina=2024,MID(Osnovni_podaci!D20,3,1)="e",Osnovni_podaci!L24=5,Osnovni_podaci!G24=0,MID(Osnovni_podaci!D20,3,1)="e",MID(Osnovni_podaci!D20,8,1)="d"),SUM(K66,-L66),A1)</f>
        <v>4608429</v>
      </c>
      <c r="N66" s="577">
        <v>4997963</v>
      </c>
      <c r="P66" s="44"/>
    </row>
    <row r="67" spans="2:16" x14ac:dyDescent="0.2">
      <c r="B67" s="15">
        <v>47</v>
      </c>
      <c r="C67" s="360" t="str">
        <f>VLOOKUP( $B67, T_Aop[], 5, 1)</f>
        <v>201, 202, 203, dio 209</v>
      </c>
      <c r="D67" s="620" t="str">
        <f>VLOOKUP( $B67, T_Aop[], 6, 1)</f>
        <v xml:space="preserve">      1.2. Kupci u zemlji</v>
      </c>
      <c r="E67" s="621"/>
      <c r="F67" s="621"/>
      <c r="G67" s="621"/>
      <c r="H67" s="622"/>
      <c r="I67" s="121">
        <f>VLOOKUP( $B67, T_Aop[], 4, 1)</f>
        <v>47</v>
      </c>
      <c r="J67" s="157"/>
      <c r="K67" s="157">
        <v>40087729</v>
      </c>
      <c r="L67" s="157">
        <v>39953156</v>
      </c>
      <c r="M67" s="151">
        <f>IF(AND([0]!Godina=2024,MID(Osnovni_podaci!D20,3,1)="e",Osnovni_podaci!L24=5,Osnovni_podaci!G24=0,MID(Osnovni_podaci!D20,3,1)="e",MID(Osnovni_podaci!D20,8,1)="d"),SUM(K67,-L67),A1)</f>
        <v>134573</v>
      </c>
      <c r="N67" s="576">
        <v>119603</v>
      </c>
      <c r="P67" s="44"/>
    </row>
    <row r="68" spans="2:16" x14ac:dyDescent="0.2">
      <c r="B68" s="15">
        <v>48</v>
      </c>
      <c r="C68" s="361" t="str">
        <f>VLOOKUP( $B68, T_Aop[], 5, 1)</f>
        <v>204, dio 209</v>
      </c>
      <c r="D68" s="617" t="str">
        <f>VLOOKUP( $B68, T_Aop[], 6, 1)</f>
        <v xml:space="preserve">      1.3. Kupci iz inostranstva</v>
      </c>
      <c r="E68" s="618"/>
      <c r="F68" s="618"/>
      <c r="G68" s="618"/>
      <c r="H68" s="619"/>
      <c r="I68" s="122">
        <f>VLOOKUP( $B68, T_Aop[], 4, 1)</f>
        <v>48</v>
      </c>
      <c r="J68" s="155"/>
      <c r="K68" s="155"/>
      <c r="L68" s="155"/>
      <c r="M68" s="152">
        <f>IF(AND([0]!Godina=2024,MID(Osnovni_podaci!D20,3,1)="e",Osnovni_podaci!L24=5,Osnovni_podaci!G24=0,MID(Osnovni_podaci!D20,3,1)="e",MID(Osnovni_podaci!D20,8,1)="d"),SUM(K68,-L68),A1)</f>
        <v>0</v>
      </c>
      <c r="N68" s="577">
        <v>0</v>
      </c>
      <c r="P68" s="44"/>
    </row>
    <row r="69" spans="2:16" x14ac:dyDescent="0.2">
      <c r="B69" s="15">
        <v>49</v>
      </c>
      <c r="C69" s="360" t="str">
        <f>VLOOKUP( $B69, T_Aop[], 5, 1)</f>
        <v>grupa 21, osim 214</v>
      </c>
      <c r="D69" s="620" t="str">
        <f>VLOOKUP( $B69, T_Aop[], 6, 1)</f>
        <v xml:space="preserve">      1.4.Potraživanja iz specifičnih poslova</v>
      </c>
      <c r="E69" s="621"/>
      <c r="F69" s="621"/>
      <c r="G69" s="621"/>
      <c r="H69" s="622"/>
      <c r="I69" s="121">
        <f>VLOOKUP( $B69, T_Aop[], 4, 1)</f>
        <v>49</v>
      </c>
      <c r="J69" s="157"/>
      <c r="K69" s="157"/>
      <c r="L69" s="157"/>
      <c r="M69" s="151">
        <f>IF(AND([0]!Godina=2024,MID(Osnovni_podaci!D20,3,1)="e",Osnovni_podaci!L24=5,Osnovni_podaci!G24=0,MID(Osnovni_podaci!D20,3,1)="e",MID(Osnovni_podaci!D20,8,1)="d"),SUM(K69,-L69),A1)</f>
        <v>0</v>
      </c>
      <c r="N69" s="576">
        <v>0</v>
      </c>
      <c r="P69" s="44"/>
    </row>
    <row r="70" spans="2:16" x14ac:dyDescent="0.2">
      <c r="B70" s="15">
        <v>50</v>
      </c>
      <c r="C70" s="361" t="str">
        <f>VLOOKUP( $B70, T_Aop[], 5, 1)</f>
        <v>grupa 22, osim 224</v>
      </c>
      <c r="D70" s="617" t="str">
        <f>VLOOKUP( $B70, T_Aop[], 6, 1)</f>
        <v xml:space="preserve">      1.5. Ostala kratkoročna potraživanja</v>
      </c>
      <c r="E70" s="618"/>
      <c r="F70" s="618"/>
      <c r="G70" s="618"/>
      <c r="H70" s="619"/>
      <c r="I70" s="122">
        <f>VLOOKUP( $B70, T_Aop[], 4, 1)</f>
        <v>50</v>
      </c>
      <c r="J70" s="155"/>
      <c r="K70" s="155">
        <f>10731397-2614625</f>
        <v>8116772</v>
      </c>
      <c r="L70" s="155">
        <v>8100143</v>
      </c>
      <c r="M70" s="152">
        <f>IF(AND([0]!Godina=2024,MID(Osnovni_podaci!D20,3,1)="e",Osnovni_podaci!L24=5,Osnovni_podaci!G24=0,MID(Osnovni_podaci!D20,3,1)="e",MID(Osnovni_podaci!D20,8,1)="d"),SUM(K70,-L70),A1)</f>
        <v>16629</v>
      </c>
      <c r="N70" s="577">
        <v>70734</v>
      </c>
      <c r="P70" s="44"/>
    </row>
    <row r="71" spans="2:16" x14ac:dyDescent="0.2">
      <c r="B71" s="15">
        <v>51</v>
      </c>
      <c r="C71" s="360">
        <f>VLOOKUP( $B71, T_Aop[], 5, 1)</f>
        <v>224</v>
      </c>
      <c r="D71" s="620" t="str">
        <f>VLOOKUP( $B71, T_Aop[], 6, 1)</f>
        <v xml:space="preserve">      1.6. Potraživanja za više plaćen porez na dobit</v>
      </c>
      <c r="E71" s="621"/>
      <c r="F71" s="621"/>
      <c r="G71" s="621"/>
      <c r="H71" s="622"/>
      <c r="I71" s="121">
        <f>VLOOKUP( $B71, T_Aop[], 4, 1)</f>
        <v>51</v>
      </c>
      <c r="J71" s="157"/>
      <c r="K71" s="157">
        <v>16000</v>
      </c>
      <c r="L71" s="157"/>
      <c r="M71" s="151">
        <f>IF(AND([0]!Godina=2024,MID(Osnovni_podaci!D20,3,1)="e",Osnovni_podaci!L24=5,Osnovni_podaci!G24=0,MID(Osnovni_podaci!D20,3,1)="e",MID(Osnovni_podaci!D20,8,1)="d"),SUM(K71,-L71),A1)</f>
        <v>16000</v>
      </c>
      <c r="N71" s="394">
        <v>0</v>
      </c>
      <c r="P71" s="44"/>
    </row>
    <row r="72" spans="2:16" x14ac:dyDescent="0.2">
      <c r="B72" s="15">
        <v>52</v>
      </c>
      <c r="C72" s="361" t="str">
        <f>VLOOKUP( $B72, T_Aop[], 5, 1)</f>
        <v xml:space="preserve"> </v>
      </c>
      <c r="D72" s="617" t="str">
        <f>VLOOKUP( $B72, T_Aop[], 6, 1)</f>
        <v xml:space="preserve">    2. Kratkoročni finansijski plasmani ( 053 + 058 + 059 + 060)</v>
      </c>
      <c r="E72" s="618"/>
      <c r="F72" s="618"/>
      <c r="G72" s="618"/>
      <c r="H72" s="619"/>
      <c r="I72" s="122">
        <f>VLOOKUP( $B72, T_Aop[], 4, 1)</f>
        <v>52</v>
      </c>
      <c r="J72" s="155"/>
      <c r="K72" s="388">
        <f>IF(AND([0]!Godina=2024,MID(Osnovni_podaci!D20,3,1)="e",Osnovni_podaci!L24=5,Osnovni_podaci!G24=0,MID(Osnovni_podaci!D20,3,1)="e",MID(Osnovni_podaci!D20,8,1)="d"),SUBTOTAL(9,K73:K80),A1)</f>
        <v>258113</v>
      </c>
      <c r="L72" s="388">
        <f>SUBTOTAL(9,L73:L80)</f>
        <v>248980</v>
      </c>
      <c r="M72" s="388">
        <f>IF(AND([0]!Godina=2024,MID(Osnovni_podaci!D20,3,1)="e",Osnovni_podaci!L24=5,Osnovni_podaci!G24=0,MID(Osnovni_podaci!D20,3,1)="e",MID(Osnovni_podaci!D20,8,1)="d"),SUM(K72,-L72),A1)</f>
        <v>9133</v>
      </c>
      <c r="N72" s="398">
        <f>IF(AND([0]!Godina=2024,MID(Osnovni_podaci!D20,3,1)="e",Osnovni_podaci!L24=5,Osnovni_podaci!G24=0,MID(Osnovni_podaci!D20,3,1)="e",MID(Osnovni_podaci!D20,8,1)="d"),SUBTOTAL(9,N73:N80),A1)</f>
        <v>9133</v>
      </c>
      <c r="P72" s="44"/>
    </row>
    <row r="73" spans="2:16" x14ac:dyDescent="0.2">
      <c r="B73" s="15">
        <v>53</v>
      </c>
      <c r="C73" s="360" t="str">
        <f>VLOOKUP( $B73, T_Aop[], 5, 1)</f>
        <v xml:space="preserve"> </v>
      </c>
      <c r="D73" s="620" t="str">
        <f>VLOOKUP( $B73, T_Aop[], 6, 1)</f>
        <v xml:space="preserve">      2.1. Finansijska sredstva po amortizovanoj vrijednosti (054 do 057)</v>
      </c>
      <c r="E73" s="621"/>
      <c r="F73" s="621"/>
      <c r="G73" s="621"/>
      <c r="H73" s="622"/>
      <c r="I73" s="121">
        <f>VLOOKUP( $B73, T_Aop[], 4, 1)</f>
        <v>53</v>
      </c>
      <c r="J73" s="157"/>
      <c r="K73" s="32">
        <f>IF(AND([0]!Godina=2024,MID(Osnovni_podaci!D20,3,1)="e",Osnovni_podaci!L24=5,Osnovni_podaci!G24=0,MID(Osnovni_podaci!D20,3,1)="e",MID(Osnovni_podaci!D20,8,1)="d"),SUBTOTAL(9,K74:K77),A1)</f>
        <v>258113</v>
      </c>
      <c r="L73" s="32">
        <f>SUBTOTAL(9,L74:L77)</f>
        <v>248980</v>
      </c>
      <c r="M73" s="393">
        <f>IF(AND([0]!Godina=2024,MID(Osnovni_podaci!D20,3,1)="e",Osnovni_podaci!L24=5,Osnovni_podaci!G24=0,MID(Osnovni_podaci!D20,3,1)="e",MID(Osnovni_podaci!D20,8,1)="d"),SUM(K73,-L73),A1)</f>
        <v>9133</v>
      </c>
      <c r="N73" s="399">
        <f>IF(AND([0]!Godina=2024,MID(Osnovni_podaci!D20,3,1)="e",Osnovni_podaci!L24=5,Osnovni_podaci!G24=0,MID(Osnovni_podaci!D20,3,1)="e",MID(Osnovni_podaci!D20,8,1)="d"),SUBTOTAL(9,N74:N77),A1)</f>
        <v>9133</v>
      </c>
      <c r="P73" s="44"/>
    </row>
    <row r="74" spans="2:16" x14ac:dyDescent="0.2">
      <c r="B74" s="15">
        <v>54</v>
      </c>
      <c r="C74" s="361" t="str">
        <f>VLOOKUP( $B74, T_Aop[], 5, 1)</f>
        <v>230, dio 238</v>
      </c>
      <c r="D74" s="617" t="str">
        <f>VLOOKUP( $B74, T_Aop[], 6, 1)</f>
        <v xml:space="preserve">        a) Kratkoročni krediti povezanim pravnim licima</v>
      </c>
      <c r="E74" s="618"/>
      <c r="F74" s="618"/>
      <c r="G74" s="618"/>
      <c r="H74" s="619"/>
      <c r="I74" s="122">
        <f>VLOOKUP( $B74, T_Aop[], 4, 1)</f>
        <v>54</v>
      </c>
      <c r="J74" s="155"/>
      <c r="K74" s="155"/>
      <c r="L74" s="155"/>
      <c r="M74" s="152">
        <f>IF(AND([0]!Godina=2024,MID(Osnovni_podaci!D20,3,1)="e",Osnovni_podaci!L24=5,Osnovni_podaci!G24=0,MID(Osnovni_podaci!D20,3,1)="e",MID(Osnovni_podaci!D20,8,1)="d"),SUM(K74,-L74),A1)</f>
        <v>0</v>
      </c>
      <c r="N74" s="395"/>
      <c r="P74" s="44"/>
    </row>
    <row r="75" spans="2:16" x14ac:dyDescent="0.2">
      <c r="B75" s="15">
        <v>55</v>
      </c>
      <c r="C75" s="360" t="str">
        <f>VLOOKUP( $B75, T_Aop[], 5, 1)</f>
        <v>231, dio 238</v>
      </c>
      <c r="D75" s="620" t="str">
        <f>VLOOKUP( $B75, T_Aop[], 6, 1)</f>
        <v xml:space="preserve">        b) Kratkoročni krediti u zemlji</v>
      </c>
      <c r="E75" s="621"/>
      <c r="F75" s="621"/>
      <c r="G75" s="621"/>
      <c r="H75" s="622"/>
      <c r="I75" s="121">
        <f>VLOOKUP( $B75, T_Aop[], 4, 1)</f>
        <v>55</v>
      </c>
      <c r="J75" s="157"/>
      <c r="K75" s="157">
        <v>258113</v>
      </c>
      <c r="L75" s="157">
        <v>248980</v>
      </c>
      <c r="M75" s="151">
        <f>IF(AND([0]!Godina=2024,MID(Osnovni_podaci!D20,3,1)="e",Osnovni_podaci!L24=5,Osnovni_podaci!G24=0,MID(Osnovni_podaci!D20,3,1)="e",MID(Osnovni_podaci!D20,8,1)="d"),SUM(K75,-L75),A1)</f>
        <v>9133</v>
      </c>
      <c r="N75" s="576">
        <v>9133</v>
      </c>
      <c r="P75" s="44"/>
    </row>
    <row r="76" spans="2:16" x14ac:dyDescent="0.2">
      <c r="B76" s="15">
        <v>56</v>
      </c>
      <c r="C76" s="361" t="str">
        <f>VLOOKUP( $B76, T_Aop[], 5, 1)</f>
        <v>232, dio 238</v>
      </c>
      <c r="D76" s="617" t="str">
        <f>VLOOKUP( $B76, T_Aop[], 6, 1)</f>
        <v xml:space="preserve">        c) Kratkoročni krediti u inostranstvu</v>
      </c>
      <c r="E76" s="618"/>
      <c r="F76" s="618"/>
      <c r="G76" s="618"/>
      <c r="H76" s="619"/>
      <c r="I76" s="122">
        <f>VLOOKUP( $B76, T_Aop[], 4, 1)</f>
        <v>56</v>
      </c>
      <c r="J76" s="155"/>
      <c r="K76" s="155"/>
      <c r="L76" s="155"/>
      <c r="M76" s="152">
        <f>IF(AND([0]!Godina=2024,MID(Osnovni_podaci!D20,3,1)="e",Osnovni_podaci!L24=5,Osnovni_podaci!G24=0,MID(Osnovni_podaci!D20,3,1)="e",MID(Osnovni_podaci!D20,8,1)="d"),SUM(K76,-L76),A1)</f>
        <v>0</v>
      </c>
      <c r="N76" s="395"/>
      <c r="P76" s="44"/>
    </row>
    <row r="77" spans="2:16" x14ac:dyDescent="0.2">
      <c r="B77" s="15">
        <v>57</v>
      </c>
      <c r="C77" s="360" t="str">
        <f>VLOOKUP( $B77, T_Aop[], 5, 1)</f>
        <v>233, dio 238</v>
      </c>
      <c r="D77" s="620" t="str">
        <f>VLOOKUP( $B77, T_Aop[], 6, 1)</f>
        <v xml:space="preserve">        d) Ostala finansijska sredstva po amortizovanoj vrijednosti</v>
      </c>
      <c r="E77" s="621"/>
      <c r="F77" s="621"/>
      <c r="G77" s="621"/>
      <c r="H77" s="622"/>
      <c r="I77" s="121">
        <f>VLOOKUP( $B77, T_Aop[], 4, 1)</f>
        <v>57</v>
      </c>
      <c r="J77" s="157"/>
      <c r="K77" s="157"/>
      <c r="L77" s="157"/>
      <c r="M77" s="151">
        <f>IF(AND([0]!Godina=2024,MID(Osnovni_podaci!D20,3,1)="e",Osnovni_podaci!L24=5,Osnovni_podaci!G24=0,MID(Osnovni_podaci!D20,3,1)="e",MID(Osnovni_podaci!D20,8,1)="d"),SUM(K77,-L77),A1)</f>
        <v>0</v>
      </c>
      <c r="N77" s="394"/>
      <c r="P77" s="44"/>
    </row>
    <row r="78" spans="2:16" x14ac:dyDescent="0.2">
      <c r="B78" s="15">
        <v>58</v>
      </c>
      <c r="C78" s="361" t="str">
        <f>VLOOKUP( $B78, T_Aop[], 5, 1)</f>
        <v>235 i 236</v>
      </c>
      <c r="D78" s="617" t="str">
        <f>VLOOKUP( $B78, T_Aop[], 6, 1)</f>
        <v xml:space="preserve">      2.2. Finansijska sredstva po fer vrijednosti kroz bilans uspjeha</v>
      </c>
      <c r="E78" s="618"/>
      <c r="F78" s="618"/>
      <c r="G78" s="618"/>
      <c r="H78" s="619"/>
      <c r="I78" s="122">
        <f>VLOOKUP( $B78, T_Aop[], 4, 1)</f>
        <v>58</v>
      </c>
      <c r="J78" s="155"/>
      <c r="K78" s="155"/>
      <c r="L78" s="155"/>
      <c r="M78" s="152">
        <f>IF(AND([0]!Godina=2024,MID(Osnovni_podaci!D20,3,1)="e",Osnovni_podaci!L24=5,Osnovni_podaci!G24=0,MID(Osnovni_podaci!D20,3,1)="e",MID(Osnovni_podaci!D20,8,1)="d"),SUM(K78,-L78),A1)</f>
        <v>0</v>
      </c>
      <c r="N78" s="395"/>
      <c r="P78" s="44"/>
    </row>
    <row r="79" spans="2:16" x14ac:dyDescent="0.2">
      <c r="B79" s="15">
        <v>59</v>
      </c>
      <c r="C79" s="360" t="str">
        <f>VLOOKUP( $B79, T_Aop[], 5, 1)</f>
        <v>234, 239</v>
      </c>
      <c r="D79" s="620" t="str">
        <f>VLOOKUP( $B79, T_Aop[], 6, 1)</f>
        <v xml:space="preserve">      2.3. Potraživanje po finansijskom lizingu</v>
      </c>
      <c r="E79" s="621"/>
      <c r="F79" s="621"/>
      <c r="G79" s="621"/>
      <c r="H79" s="622"/>
      <c r="I79" s="121">
        <f>VLOOKUP( $B79, T_Aop[], 4, 1)</f>
        <v>59</v>
      </c>
      <c r="J79" s="157"/>
      <c r="K79" s="157"/>
      <c r="L79" s="157"/>
      <c r="M79" s="151">
        <f>IF(AND([0]!Godina=2024,MID(Osnovni_podaci!D20,3,1)="e",Osnovni_podaci!L24=5,Osnovni_podaci!G24=0,MID(Osnovni_podaci!D20,3,1)="e",MID(Osnovni_podaci!D20,8,1)="d"),SUM(K79,-L79),A1)</f>
        <v>0</v>
      </c>
      <c r="N79" s="394"/>
      <c r="P79" s="44"/>
    </row>
    <row r="80" spans="2:16" x14ac:dyDescent="0.2">
      <c r="B80" s="15">
        <v>60</v>
      </c>
      <c r="C80" s="361">
        <f>VLOOKUP( $B80, T_Aop[], 5, 1)</f>
        <v>214</v>
      </c>
      <c r="D80" s="617" t="str">
        <f>VLOOKUP( $B80, T_Aop[], 6, 1)</f>
        <v xml:space="preserve">      2.4. Derivatna finansijska sredstva</v>
      </c>
      <c r="E80" s="618"/>
      <c r="F80" s="618"/>
      <c r="G80" s="618"/>
      <c r="H80" s="619"/>
      <c r="I80" s="122">
        <f>VLOOKUP( $B80, T_Aop[], 4, 1)</f>
        <v>60</v>
      </c>
      <c r="J80" s="155"/>
      <c r="K80" s="155"/>
      <c r="L80" s="155"/>
      <c r="M80" s="152">
        <f>IF(AND([0]!Godina=2024,MID(Osnovni_podaci!D20,3,1)="e",Osnovni_podaci!L24=5,Osnovni_podaci!G24=0,MID(Osnovni_podaci!D20,3,1)="e",MID(Osnovni_podaci!D20,8,1)="d"),SUM(K80,-L80),A1)</f>
        <v>0</v>
      </c>
      <c r="N80" s="395"/>
      <c r="P80" s="44"/>
    </row>
    <row r="81" spans="2:16" x14ac:dyDescent="0.2">
      <c r="B81" s="15">
        <v>61</v>
      </c>
      <c r="C81" s="360">
        <f>VLOOKUP( $B81, T_Aop[], 5, 1)</f>
        <v>24</v>
      </c>
      <c r="D81" s="620" t="str">
        <f>VLOOKUP( $B81, T_Aop[], 6, 1)</f>
        <v xml:space="preserve">    3. Gotovinski ekvivalenti i gotovina (062 + 063)</v>
      </c>
      <c r="E81" s="621"/>
      <c r="F81" s="621"/>
      <c r="G81" s="621"/>
      <c r="H81" s="622"/>
      <c r="I81" s="121">
        <f>VLOOKUP( $B81, T_Aop[], 4, 1)</f>
        <v>61</v>
      </c>
      <c r="J81" s="157"/>
      <c r="K81" s="32">
        <f>IF(AND([0]!Godina=2024,MID(Osnovni_podaci!D20,3,1)="e",Osnovni_podaci!L24=5,Osnovni_podaci!G24=0,MID(Osnovni_podaci!D20,3,1)="e",MID(Osnovni_podaci!D20,8,1)="d"),SUBTOTAL(9,K82:K83),A1)</f>
        <v>2814195</v>
      </c>
      <c r="L81" s="32">
        <f>IF(AND([0]!Godina=2024,MID(Osnovni_podaci!D20,3,1)="e",Osnovni_podaci!L24=5,Osnovni_podaci!G24=0,MID(Osnovni_podaci!D20,3,1)="e",MID(Osnovni_podaci!D20,8,1)="d"),SUBTOTAL(9,L82:L83),A1)</f>
        <v>0</v>
      </c>
      <c r="M81" s="32">
        <f t="shared" ref="M81:M86" si="1">SUM(K81,-L81)</f>
        <v>2814195</v>
      </c>
      <c r="N81" s="399">
        <f>SUBTOTAL(9,N82:N83)</f>
        <v>3927221</v>
      </c>
      <c r="P81" s="44"/>
    </row>
    <row r="82" spans="2:16" x14ac:dyDescent="0.2">
      <c r="B82" s="15">
        <v>62</v>
      </c>
      <c r="C82" s="361" t="str">
        <f>VLOOKUP( $B82, T_Aop[], 5, 1)</f>
        <v>240, dio 249</v>
      </c>
      <c r="D82" s="617" t="str">
        <f>VLOOKUP( $B82, T_Aop[], 6, 1)</f>
        <v xml:space="preserve">      3.1. Gotovinski ekvivalenti </v>
      </c>
      <c r="E82" s="618"/>
      <c r="F82" s="618"/>
      <c r="G82" s="618"/>
      <c r="H82" s="619"/>
      <c r="I82" s="122">
        <f>VLOOKUP( $B82, T_Aop[], 4, 1)</f>
        <v>62</v>
      </c>
      <c r="J82" s="155"/>
      <c r="K82" s="238"/>
      <c r="L82" s="155"/>
      <c r="M82" s="152">
        <f t="shared" si="1"/>
        <v>0</v>
      </c>
      <c r="N82" s="400"/>
      <c r="P82" s="44"/>
    </row>
    <row r="83" spans="2:16" x14ac:dyDescent="0.2">
      <c r="B83" s="15">
        <v>63</v>
      </c>
      <c r="C83" s="360" t="str">
        <f>VLOOKUP( $B83, T_Aop[], 5, 1)</f>
        <v>241 do 249</v>
      </c>
      <c r="D83" s="620" t="str">
        <f>VLOOKUP( $B83, T_Aop[], 6, 1)</f>
        <v xml:space="preserve">      3.2. Gotovina</v>
      </c>
      <c r="E83" s="621"/>
      <c r="F83" s="621"/>
      <c r="G83" s="621"/>
      <c r="H83" s="622"/>
      <c r="I83" s="121">
        <f>VLOOKUP( $B83, T_Aop[], 4, 1)</f>
        <v>63</v>
      </c>
      <c r="J83" s="157"/>
      <c r="K83" s="429">
        <f>2700093+114102</f>
        <v>2814195</v>
      </c>
      <c r="L83" s="157"/>
      <c r="M83" s="151">
        <f t="shared" si="1"/>
        <v>2814195</v>
      </c>
      <c r="N83" s="576">
        <v>3927221</v>
      </c>
      <c r="P83" s="44"/>
    </row>
    <row r="84" spans="2:16" x14ac:dyDescent="0.2">
      <c r="B84" s="15">
        <v>64</v>
      </c>
      <c r="C84" s="361" t="str">
        <f>VLOOKUP( $B84, T_Aop[], 5, 1)</f>
        <v>270 do 279</v>
      </c>
      <c r="D84" s="617" t="str">
        <f>VLOOKUP( $B84, T_Aop[], 6, 1)</f>
        <v xml:space="preserve">    4. Porez na dodatu vrijednost</v>
      </c>
      <c r="E84" s="618"/>
      <c r="F84" s="618"/>
      <c r="G84" s="618"/>
      <c r="H84" s="619"/>
      <c r="I84" s="122">
        <f>VLOOKUP( $B84, T_Aop[], 4, 1)</f>
        <v>64</v>
      </c>
      <c r="J84" s="155"/>
      <c r="K84" s="428">
        <v>70</v>
      </c>
      <c r="L84" s="155"/>
      <c r="M84" s="152">
        <f t="shared" si="1"/>
        <v>70</v>
      </c>
      <c r="N84" s="577">
        <v>0</v>
      </c>
      <c r="P84" s="44"/>
    </row>
    <row r="85" spans="2:16" x14ac:dyDescent="0.2">
      <c r="B85" s="15">
        <v>65</v>
      </c>
      <c r="C85" s="360" t="str">
        <f>VLOOKUP( $B85, T_Aop[], 5, 1)</f>
        <v>280 do 289</v>
      </c>
      <c r="D85" s="620" t="str">
        <f>VLOOKUP( $B85, T_Aop[], 6, 1)</f>
        <v xml:space="preserve">    5. Kratkoročna  razgraničenja</v>
      </c>
      <c r="E85" s="621"/>
      <c r="F85" s="621"/>
      <c r="G85" s="621"/>
      <c r="H85" s="622"/>
      <c r="I85" s="121">
        <f>VLOOKUP( $B85, T_Aop[], 4, 1)</f>
        <v>65</v>
      </c>
      <c r="J85" s="157"/>
      <c r="K85" s="427">
        <f>395511+3694</f>
        <v>399205</v>
      </c>
      <c r="L85" s="157"/>
      <c r="M85" s="151">
        <f t="shared" si="1"/>
        <v>399205</v>
      </c>
      <c r="N85" s="576">
        <v>441605</v>
      </c>
      <c r="P85" s="44"/>
    </row>
    <row r="86" spans="2:16" x14ac:dyDescent="0.2">
      <c r="B86" s="15">
        <v>66</v>
      </c>
      <c r="C86" s="361"/>
      <c r="D86" s="623" t="str">
        <f>VLOOKUP( $B86, T_Aop[], 6, 1)</f>
        <v xml:space="preserve">  G. BILANSNA AKTIVA (001 + 035 + 036)</v>
      </c>
      <c r="E86" s="624"/>
      <c r="F86" s="624"/>
      <c r="G86" s="624"/>
      <c r="H86" s="625"/>
      <c r="I86" s="172">
        <f>VLOOKUP( $B86, T_Aop[], 4, 1)</f>
        <v>66</v>
      </c>
      <c r="J86" s="155"/>
      <c r="K86" s="31">
        <f>IF(AND([0]!Godina=2024,MID(Osnovni_podaci!D20,3,1)="e",Osnovni_podaci!L24=5,Osnovni_podaci!G24=0,MID(Osnovni_podaci!D20,3,1)="e",MID(Osnovni_podaci!D20,8,1)="d"),SUBTOTAL( 9, K21:K85),A1)</f>
        <v>410562729</v>
      </c>
      <c r="L86" s="31">
        <f>IF(AND([0]!Godina=2024,MID(Osnovni_podaci!D20,3,1)="e",Osnovni_podaci!L24=5,Osnovni_podaci!G24=0,MID(Osnovni_podaci!D20,3,1)="e",MID(Osnovni_podaci!D20,8,1)="d"),SUBTOTAL( 9, L21:L85),A1)</f>
        <v>251597977</v>
      </c>
      <c r="M86" s="81">
        <f t="shared" si="1"/>
        <v>158964752</v>
      </c>
      <c r="N86" s="239">
        <f>SUBTOTAL( 9, N21:N85)</f>
        <v>160027015</v>
      </c>
      <c r="P86" s="44"/>
    </row>
    <row r="87" spans="2:16" x14ac:dyDescent="0.2">
      <c r="B87" s="15">
        <v>67</v>
      </c>
      <c r="C87" s="362" t="str">
        <f>VLOOKUP( $B87, T_Aop[], 5, 1)</f>
        <v>880 do 888</v>
      </c>
      <c r="D87" s="626" t="str">
        <f>VLOOKUP( $B87, T_Aop[], 6, 1)</f>
        <v xml:space="preserve">  D. VANBILANSNA AKTIVA</v>
      </c>
      <c r="E87" s="627"/>
      <c r="F87" s="627"/>
      <c r="G87" s="627"/>
      <c r="H87" s="628"/>
      <c r="I87" s="173">
        <f>VLOOKUP( $B87, T_Aop[], 4, 1)</f>
        <v>67</v>
      </c>
      <c r="J87" s="401"/>
      <c r="K87" s="434">
        <f>28922698+15396573</f>
        <v>44319271</v>
      </c>
      <c r="L87" s="434"/>
      <c r="M87" s="35">
        <f>SUM(K87,-L87)</f>
        <v>44319271</v>
      </c>
      <c r="N87" s="580">
        <v>44393234</v>
      </c>
      <c r="P87" s="44"/>
    </row>
    <row r="88" spans="2:16" x14ac:dyDescent="0.2">
      <c r="C88" s="123"/>
      <c r="D88" s="123"/>
      <c r="E88" s="123"/>
      <c r="F88" s="123"/>
      <c r="G88" s="123"/>
      <c r="H88" s="123"/>
      <c r="I88" s="123"/>
      <c r="J88" s="123"/>
      <c r="K88" s="123"/>
      <c r="L88" s="123"/>
      <c r="M88" s="124"/>
      <c r="N88" s="123"/>
      <c r="P88" s="44"/>
    </row>
    <row r="89" spans="2:16" x14ac:dyDescent="0.2">
      <c r="C89" s="629" t="str">
        <f>Tabele_zaglavlje_Grupa_racuna</f>
        <v>Grupa računa, račun</v>
      </c>
      <c r="D89" s="647" t="str">
        <f>IF(AND([0]!Godina=2024,MID(Osnovni_podaci!D20,3,1)="e",Osnovni_podaci!L24=5,Osnovni_podaci!G24=0,MID(Osnovni_podaci!D20,3,1)="e",MID(Osnovni_podaci!D20,8,1)="d"),Tabele_zaglavlje_Pozicija,A1)</f>
        <v>POZICIJA</v>
      </c>
      <c r="E89" s="648"/>
      <c r="F89" s="648"/>
      <c r="G89" s="648"/>
      <c r="H89" s="649"/>
      <c r="I89" s="657" t="str">
        <f>Tabele_zaglavlje_Oznaka_aop</f>
        <v>Oznaka za AOP</v>
      </c>
      <c r="J89" s="631" t="str">
        <f>Tabele_zaglavlje_Napomena_aop</f>
        <v>Napomena</v>
      </c>
      <c r="K89" s="653"/>
      <c r="L89" s="654"/>
      <c r="M89" s="659" t="str">
        <f>Tabele_zaglavlje_BS_iznos_tekuca</f>
        <v>Iznos na dan bilansa tekuće godine</v>
      </c>
      <c r="N89" s="645" t="str">
        <f>Tabele_zaglavlje_BS_iznos_prethodna</f>
        <v>Iznos na dan bilansa prethodne godine (PS)</v>
      </c>
      <c r="P89" s="44"/>
    </row>
    <row r="90" spans="2:16" ht="39.75" customHeight="1" x14ac:dyDescent="0.2">
      <c r="C90" s="630"/>
      <c r="D90" s="650"/>
      <c r="E90" s="651"/>
      <c r="F90" s="651"/>
      <c r="G90" s="651"/>
      <c r="H90" s="652"/>
      <c r="I90" s="658"/>
      <c r="J90" s="632"/>
      <c r="K90" s="655"/>
      <c r="L90" s="656"/>
      <c r="M90" s="658"/>
      <c r="N90" s="646"/>
      <c r="P90" s="44"/>
    </row>
    <row r="91" spans="2:16" x14ac:dyDescent="0.2">
      <c r="C91" s="24">
        <v>1</v>
      </c>
      <c r="D91" s="633" t="s">
        <v>3076</v>
      </c>
      <c r="E91" s="634"/>
      <c r="F91" s="634"/>
      <c r="G91" s="634"/>
      <c r="H91" s="635"/>
      <c r="I91" s="234">
        <v>3</v>
      </c>
      <c r="J91" s="240">
        <v>4</v>
      </c>
      <c r="K91" s="403"/>
      <c r="L91" s="404"/>
      <c r="M91" s="233">
        <v>5</v>
      </c>
      <c r="N91" s="26">
        <v>6</v>
      </c>
      <c r="P91" s="44"/>
    </row>
    <row r="92" spans="2:16" ht="22.5" customHeight="1" x14ac:dyDescent="0.2">
      <c r="B92" s="15">
        <v>68</v>
      </c>
      <c r="C92" s="169">
        <f>VLOOKUP( $B92, T_Aop[], 5, 1)</f>
        <v>0</v>
      </c>
      <c r="D92" s="636" t="str">
        <f>IF(AND([0]!Godina=2024,MID(Osnovni_podaci!D20,3,1)="e",Osnovni_podaci!L24=5,Osnovni_podaci!G24=0,MID(Osnovni_podaci!D20,3,1)="e",MID(Osnovni_podaci!D20,8,1)="d"),VLOOKUP( $B92, T_Aop[], 6, 1),A1)</f>
        <v xml:space="preserve">  BILANSNA PASIVA
A. KAPITAL  (102 -110 + 113 - 114 + 115 + 119 + 122 - 123 + 124 - 128 + 131)</v>
      </c>
      <c r="E92" s="637"/>
      <c r="F92" s="637"/>
      <c r="G92" s="637"/>
      <c r="H92" s="638"/>
      <c r="I92" s="170">
        <f>VLOOKUP( $B92, T_Aop[], 4, 1)</f>
        <v>101</v>
      </c>
      <c r="J92" s="426"/>
      <c r="K92" s="686"/>
      <c r="L92" s="687"/>
      <c r="M92" s="518">
        <f>SUBTOTAL( 9, M95:M100,M104,M107:M109, M111:M113,M116:M118,M122) - SUBTOTAL( 9, M102:M103, M114, M120:M121) -SUBTOTAL(9, M105)</f>
        <v>100908661</v>
      </c>
      <c r="N92" s="519">
        <f>SUBTOTAL( 9, N95:N100, N104, N107:N109, N111:N113, N116:N118, N122) - SUBTOTAL( 9, N102:N103, N114, N120:N121)-SUBTOTAL(9,N105)</f>
        <v>99284866</v>
      </c>
      <c r="P92" s="44"/>
    </row>
    <row r="93" spans="2:16" x14ac:dyDescent="0.2">
      <c r="B93" s="15">
        <v>69</v>
      </c>
      <c r="C93" s="356">
        <f>VLOOKUP( $B93, T_Aop[], 5, 1)</f>
        <v>30</v>
      </c>
      <c r="D93" s="639" t="str">
        <f>IF(AND([0]!Godina=2024,MID(Osnovni_podaci!D20,3,1)="e",Osnovni_podaci!L24=5,Osnovni_podaci!G24=0,MID(Osnovni_podaci!D20,3,1)="e",MID(Osnovni_podaci!D20,8,1)="d"),VLOOKUP( $B93, T_Aop[], 6, 1),A1)</f>
        <v xml:space="preserve">  I OSNOVNI KAPITAL (103 + 106 + 107 + 108 + 109)</v>
      </c>
      <c r="E93" s="640"/>
      <c r="F93" s="640"/>
      <c r="G93" s="640"/>
      <c r="H93" s="641"/>
      <c r="I93" s="241">
        <f>VLOOKUP( $B93, T_Aop[], 4, 1)</f>
        <v>102</v>
      </c>
      <c r="J93" s="424"/>
      <c r="K93" s="688"/>
      <c r="L93" s="689"/>
      <c r="M93" s="520">
        <f>SUBTOTAL( 9, M94:M100)</f>
        <v>15795899</v>
      </c>
      <c r="N93" s="521">
        <f>SUBTOTAL( 9, N94:N100)</f>
        <v>15795899</v>
      </c>
      <c r="P93" s="44"/>
    </row>
    <row r="94" spans="2:16" x14ac:dyDescent="0.2">
      <c r="B94" s="15">
        <v>70</v>
      </c>
      <c r="C94" s="357">
        <f>VLOOKUP( $B94, T_Aop[], 5, 1)</f>
        <v>300</v>
      </c>
      <c r="D94" s="620" t="str">
        <f>IF(AND([0]!Godina=2024,MID(Osnovni_podaci!D20,3,1)="e",Osnovni_podaci!L24=5,Osnovni_podaci!G24=0,MID(Osnovni_podaci!D20,3,1)="e",MID(Osnovni_podaci!D20,8,1)="d"),VLOOKUP( $B94, T_Aop[], 6, 1),A1)</f>
        <v xml:space="preserve">    1. Akcijski kapital (104 + 105)</v>
      </c>
      <c r="E94" s="621"/>
      <c r="F94" s="621"/>
      <c r="G94" s="621"/>
      <c r="H94" s="622"/>
      <c r="I94" s="170">
        <f>VLOOKUP( $B94, T_Aop[], 4, 1)</f>
        <v>103</v>
      </c>
      <c r="J94" s="157"/>
      <c r="K94" s="686"/>
      <c r="L94" s="687"/>
      <c r="M94" s="48">
        <f>SUBTOTAL( 9, M95:M96)</f>
        <v>15795899</v>
      </c>
      <c r="N94" s="49">
        <f>SUBTOTAL( 9, N95:N96)</f>
        <v>15795899</v>
      </c>
      <c r="P94" s="44"/>
    </row>
    <row r="95" spans="2:16" x14ac:dyDescent="0.2">
      <c r="B95" s="15">
        <v>71</v>
      </c>
      <c r="C95" s="358"/>
      <c r="D95" s="617" t="str">
        <f>IF(AND([0]!Godina=2024,MID(Osnovni_podaci!D20,3,1)="e",Osnovni_podaci!L24=5,Osnovni_podaci!G24=0,MID(Osnovni_podaci!D20,3,1)="e",MID(Osnovni_podaci!D20,8,1)="d"),VLOOKUP( $B95, T_Aop[], 6, 1),A1)</f>
        <v xml:space="preserve">      1.1. Akcijski kapital - obične akcije </v>
      </c>
      <c r="E95" s="618"/>
      <c r="F95" s="618"/>
      <c r="G95" s="618"/>
      <c r="H95" s="619"/>
      <c r="I95" s="122">
        <f>VLOOKUP( $B95, T_Aop[], 4, 1)</f>
        <v>104</v>
      </c>
      <c r="J95" s="155"/>
      <c r="K95" s="688"/>
      <c r="L95" s="689"/>
      <c r="M95" s="584">
        <v>15795899</v>
      </c>
      <c r="N95" s="575">
        <v>15795899</v>
      </c>
      <c r="P95" s="44"/>
    </row>
    <row r="96" spans="2:16" x14ac:dyDescent="0.2">
      <c r="B96" s="15">
        <v>72</v>
      </c>
      <c r="C96" s="357"/>
      <c r="D96" s="620" t="str">
        <f>IF(AND([0]!Godina=2024,MID(Osnovni_podaci!D20,3,1)="e",Osnovni_podaci!L24=5,Osnovni_podaci!G24=0,MID(Osnovni_podaci!D20,3,1)="e",MID(Osnovni_podaci!D20,8,1)="d"),VLOOKUP( $B96, T_Aop[], 6, 1),A1)</f>
        <v xml:space="preserve">      1.2. Akcijski kapital – povlašćene (prioritetne) akcije</v>
      </c>
      <c r="E96" s="621"/>
      <c r="F96" s="621"/>
      <c r="G96" s="621"/>
      <c r="H96" s="622"/>
      <c r="I96" s="121">
        <f>VLOOKUP( $B96, T_Aop[], 4, 1)</f>
        <v>105</v>
      </c>
      <c r="J96" s="157"/>
      <c r="K96" s="686"/>
      <c r="L96" s="687"/>
      <c r="M96" s="196"/>
      <c r="N96" s="197"/>
      <c r="P96" s="44"/>
    </row>
    <row r="97" spans="2:16" x14ac:dyDescent="0.2">
      <c r="B97" s="15">
        <v>73</v>
      </c>
      <c r="C97" s="358">
        <f>VLOOKUP( $B97, T_Aop[], 5, 1)</f>
        <v>302</v>
      </c>
      <c r="D97" s="617" t="str">
        <f>IF(AND([0]!Godina=2024,MID(Osnovni_podaci!D20,3,1)="e",Osnovni_podaci!L24=5,Osnovni_podaci!G24=0,MID(Osnovni_podaci!D20,3,1)="e",MID(Osnovni_podaci!D20,8,1)="d"),VLOOKUP( $B97, T_Aop[], 6, 1),A1)</f>
        <v xml:space="preserve">    2. Udjeli društva sa ograničenom odgovornošću</v>
      </c>
      <c r="E97" s="618"/>
      <c r="F97" s="618"/>
      <c r="G97" s="618"/>
      <c r="H97" s="619"/>
      <c r="I97" s="122">
        <f>VLOOKUP( $B97, T_Aop[], 4, 1)</f>
        <v>106</v>
      </c>
      <c r="J97" s="155"/>
      <c r="K97" s="688"/>
      <c r="L97" s="689"/>
      <c r="M97" s="194"/>
      <c r="N97" s="195"/>
      <c r="P97" s="44"/>
    </row>
    <row r="98" spans="2:16" x14ac:dyDescent="0.2">
      <c r="B98" s="15">
        <v>74</v>
      </c>
      <c r="C98" s="357">
        <f>VLOOKUP( $B98, T_Aop[], 5, 1)</f>
        <v>304</v>
      </c>
      <c r="D98" s="620" t="str">
        <f>IF(AND([0]!Godina=2024,MID(Osnovni_podaci!D20,3,1)="e",Osnovni_podaci!L24=5,Osnovni_podaci!G24=0,MID(Osnovni_podaci!D20,3,1)="e",MID(Osnovni_podaci!D20,8,1)="d"),VLOOKUP( $B98, T_Aop[], 6, 1),A1)</f>
        <v xml:space="preserve">    3. Ulozi</v>
      </c>
      <c r="E98" s="621"/>
      <c r="F98" s="621"/>
      <c r="G98" s="621"/>
      <c r="H98" s="622"/>
      <c r="I98" s="121">
        <f>VLOOKUP( $B98, T_Aop[], 4, 1)</f>
        <v>107</v>
      </c>
      <c r="J98" s="157"/>
      <c r="K98" s="686"/>
      <c r="L98" s="687"/>
      <c r="M98" s="196"/>
      <c r="N98" s="197"/>
      <c r="P98" s="44"/>
    </row>
    <row r="99" spans="2:16" x14ac:dyDescent="0.2">
      <c r="B99" s="15">
        <v>75</v>
      </c>
      <c r="C99" s="358">
        <f>VLOOKUP( $B99, T_Aop[], 5, 1)</f>
        <v>305</v>
      </c>
      <c r="D99" s="617" t="str">
        <f>IF(AND([0]!Godina=2024,MID(Osnovni_podaci!D20,3,1)="e",Osnovni_podaci!L24=5,Osnovni_podaci!G24=0,MID(Osnovni_podaci!D20,3,1)="e",MID(Osnovni_podaci!D20,8,1)="d"),VLOOKUP( $B99, T_Aop[], 6, 1),A1)</f>
        <v xml:space="preserve">    4. Državni kapital</v>
      </c>
      <c r="E99" s="618"/>
      <c r="F99" s="618"/>
      <c r="G99" s="618"/>
      <c r="H99" s="619"/>
      <c r="I99" s="122">
        <f>VLOOKUP( $B99, T_Aop[], 4, 1)</f>
        <v>108</v>
      </c>
      <c r="J99" s="155"/>
      <c r="K99" s="688"/>
      <c r="L99" s="689"/>
      <c r="M99" s="194"/>
      <c r="N99" s="195"/>
      <c r="P99" s="44"/>
    </row>
    <row r="100" spans="2:16" x14ac:dyDescent="0.2">
      <c r="B100" s="15">
        <v>76</v>
      </c>
      <c r="C100" s="357" t="str">
        <f>IF(AND([0]!Godina=2024,MID(Osnovni_podaci!D20,3,1)="e",Osnovni_podaci!L24=5,Osnovni_podaci!G24=0,MID(Osnovni_podaci!D20,3,1)="e",MID(Osnovni_podaci!D20,8,1)="d"),VLOOKUP( $B100, T_Aop[], 5, 1),A1)</f>
        <v>309</v>
      </c>
      <c r="D100" s="620" t="str">
        <f>IF(AND([0]!Godina=2024,MID(Osnovni_podaci!D20,3,1)="e",Osnovni_podaci!L24=5,Osnovni_podaci!G24=0,MID(Osnovni_podaci!D20,3,1)="e",MID(Osnovni_podaci!D20,8,1)="d"),VLOOKUP( $B100, T_Aop[], 6, 1),A1)</f>
        <v xml:space="preserve">    5. Ostali osnovni kapital</v>
      </c>
      <c r="E100" s="621"/>
      <c r="F100" s="621"/>
      <c r="G100" s="621"/>
      <c r="H100" s="622"/>
      <c r="I100" s="121">
        <f>IF(AND([0]!Godina=2024,MID(Osnovni_podaci!D20,3,1)="e",Osnovni_podaci!L24=5,Osnovni_podaci!G24=0,MID(Osnovni_podaci!D20,3,1)="e",MID(Osnovni_podaci!D20,8,1)="d"),VLOOKUP( $B100, T_Aop[], 4, 1),A1)</f>
        <v>109</v>
      </c>
      <c r="J100" s="157"/>
      <c r="K100" s="686"/>
      <c r="L100" s="687"/>
      <c r="M100" s="196"/>
      <c r="N100" s="197"/>
      <c r="P100" s="44"/>
    </row>
    <row r="101" spans="2:16" x14ac:dyDescent="0.2">
      <c r="B101" s="15">
        <v>77</v>
      </c>
      <c r="C101" s="358">
        <f>IF(AND([0]!Godina=2024,MID(Osnovni_podaci!D20,3,1)="e",Osnovni_podaci!L24=5,Osnovni_podaci!G24=0,MID(Osnovni_podaci!D20,3,1)="e",MID(Osnovni_podaci!D20,8,1)="d"),VLOOKUP( $B101, T_Aop[], 5, 1),A1)</f>
        <v>31</v>
      </c>
      <c r="D101" s="623" t="str">
        <f>IF(AND([0]!Godina=2024,MID(Osnovni_podaci!D20,3,1)="e",Osnovni_podaci!L24=5,Osnovni_podaci!G24=0,MID(Osnovni_podaci!D20,3,1)="e",MID(Osnovni_podaci!D20,8,1)="d"),VLOOKUP( $B101, T_Aop[], 6, 1),A1)</f>
        <v xml:space="preserve">  II OTKUPLJENE SOPSTVENE AKCIJE I UPISANI NEUPLAĆENI KAPITAL (111 + 112)</v>
      </c>
      <c r="E101" s="624"/>
      <c r="F101" s="624"/>
      <c r="G101" s="624"/>
      <c r="H101" s="625"/>
      <c r="I101" s="171">
        <f>IF(AND([0]!Godina=2024,MID(Osnovni_podaci!D20,3,1)="e",Osnovni_podaci!L24=5,Osnovni_podaci!G24=0,MID(Osnovni_podaci!D20,3,1)="e",MID(Osnovni_podaci!D20,8,1)="d"),VLOOKUP( $B101, T_Aop[], 4, 1),A1)</f>
        <v>110</v>
      </c>
      <c r="J101" s="155"/>
      <c r="K101" s="688"/>
      <c r="L101" s="689"/>
      <c r="M101" s="50">
        <f>SUBTOTAL( 9, M102:M103)</f>
        <v>0</v>
      </c>
      <c r="N101" s="51">
        <f>SUBTOTAL( 9, N102:N103)</f>
        <v>0</v>
      </c>
      <c r="P101" s="44"/>
    </row>
    <row r="102" spans="2:16" x14ac:dyDescent="0.2">
      <c r="B102" s="15">
        <v>78</v>
      </c>
      <c r="C102" s="357">
        <f>IF(AND([0]!Godina=2024,MID(Osnovni_podaci!D20,3,1)="e",Osnovni_podaci!L24=5,Osnovni_podaci!G24=0,MID(Osnovni_podaci!D20,3,1)="e",MID(Osnovni_podaci!D20,8,1)="d"),VLOOKUP( $B102, T_Aop[], 5, 1),A1)</f>
        <v>310</v>
      </c>
      <c r="D102" s="620" t="str">
        <f>IF(AND([0]!Godina=2024,MID(Osnovni_podaci!D20,3,1)="e",Osnovni_podaci!L24=5,Osnovni_podaci!G24=0,MID(Osnovni_podaci!D20,3,1)="e",MID(Osnovni_podaci!D20,8,1)="d"),VLOOKUP( $B102, T_Aop[], 6, 1),A1)</f>
        <v xml:space="preserve">    1. Otkupljene sopstvene akcije i udjeli </v>
      </c>
      <c r="E102" s="621"/>
      <c r="F102" s="621"/>
      <c r="G102" s="621"/>
      <c r="H102" s="622"/>
      <c r="I102" s="121">
        <f>IF(AND([0]!Godina=2024,MID(Osnovni_podaci!D20,3,1)="e",Osnovni_podaci!L24=5,Osnovni_podaci!G24=0,MID(Osnovni_podaci!D20,3,1)="e",MID(Osnovni_podaci!D20,8,1)="d"),VLOOKUP( $B102, T_Aop[], 4, 1),A1)</f>
        <v>111</v>
      </c>
      <c r="J102" s="157"/>
      <c r="K102" s="686"/>
      <c r="L102" s="687"/>
      <c r="M102" s="200"/>
      <c r="N102" s="201"/>
      <c r="P102" s="44"/>
    </row>
    <row r="103" spans="2:16" x14ac:dyDescent="0.2">
      <c r="B103" s="15">
        <v>79</v>
      </c>
      <c r="C103" s="358">
        <f>IF(AND([0]!Godina=2024,MID(Osnovni_podaci!D20,3,1)="e",Osnovni_podaci!L24=5,Osnovni_podaci!G24=0,MID(Osnovni_podaci!D20,3,1)="e",MID(Osnovni_podaci!D20,8,1)="d"),VLOOKUP( $B103, T_Aop[], 5, 1),A1)</f>
        <v>311</v>
      </c>
      <c r="D103" s="617" t="str">
        <f>IF(AND([0]!Godina=2024,MID(Osnovni_podaci!D20,3,1)="e",Osnovni_podaci!L24=5,Osnovni_podaci!G24=0,MID(Osnovni_podaci!D20,3,1)="e",MID(Osnovni_podaci!D20,8,1)="d"),VLOOKUP( $B103, T_Aop[], 6, 1),A1)</f>
        <v xml:space="preserve">    2. Upisani neuplaćeni kapital</v>
      </c>
      <c r="E103" s="618"/>
      <c r="F103" s="618"/>
      <c r="G103" s="618"/>
      <c r="H103" s="619"/>
      <c r="I103" s="122">
        <f>IF(AND([0]!Godina=2024,MID(Osnovni_podaci!D20,3,1)="e",Osnovni_podaci!L24=5,Osnovni_podaci!G24=0,MID(Osnovni_podaci!D20,3,1)="e",MID(Osnovni_podaci!D20,8,1)="d"),VLOOKUP( $B103, T_Aop[], 4, 1),A1)</f>
        <v>112</v>
      </c>
      <c r="J103" s="155"/>
      <c r="K103" s="688"/>
      <c r="L103" s="689"/>
      <c r="M103" s="198"/>
      <c r="N103" s="199"/>
      <c r="P103" s="44"/>
    </row>
    <row r="104" spans="2:16" x14ac:dyDescent="0.2">
      <c r="B104" s="15">
        <v>80</v>
      </c>
      <c r="C104" s="357">
        <f>IF(AND([0]!Godina=2024,MID(Osnovni_podaci!D20,3,1)="e",Osnovni_podaci!L24=5,Osnovni_podaci!G24=0,MID(Osnovni_podaci!D20,3,1)="e",MID(Osnovni_podaci!D20,8,1)="d"),VLOOKUP( $B104, T_Aop[], 5, 1),A1)</f>
        <v>320</v>
      </c>
      <c r="D104" s="642" t="str">
        <f>IF(AND([0]!Godina=2024,MID(Osnovni_podaci!D20,3,1)="e",Osnovni_podaci!L24=5,Osnovni_podaci!G24=0,MID(Osnovni_podaci!D20,3,1)="e",MID(Osnovni_podaci!D20,8,1)="d"),VLOOKUP( $B104, T_Aop[], 6, 1),A1)</f>
        <v xml:space="preserve">  III EMISIONA PREMIJA</v>
      </c>
      <c r="E104" s="643"/>
      <c r="F104" s="643"/>
      <c r="G104" s="643"/>
      <c r="H104" s="644"/>
      <c r="I104" s="170">
        <f>IF(AND([0]!Godina=2024,MID(Osnovni_podaci!D20,3,1)="e",Osnovni_podaci!L24=5,Osnovni_podaci!G24=0,MID(Osnovni_podaci!D20,3,1)="e",MID(Osnovni_podaci!D20,8,1)="d"),VLOOKUP( $B104, T_Aop[], 4, 1),A1)</f>
        <v>113</v>
      </c>
      <c r="J104" s="157"/>
      <c r="K104" s="686"/>
      <c r="L104" s="687"/>
      <c r="M104" s="200"/>
      <c r="N104" s="201"/>
      <c r="P104" s="44"/>
    </row>
    <row r="105" spans="2:16" x14ac:dyDescent="0.2">
      <c r="B105" s="15">
        <v>81</v>
      </c>
      <c r="C105" s="358">
        <f>IF(AND([0]!Godina=2024,MID(Osnovni_podaci!D20,3,1)="e",Osnovni_podaci!L24=5,Osnovni_podaci!G24=0,MID(Osnovni_podaci!D20,3,1)="e",MID(Osnovni_podaci!D20,8,1)="d"),VLOOKUP( $B105, T_Aop[], 5, 1),A1)</f>
        <v>321</v>
      </c>
      <c r="D105" s="623" t="str">
        <f>IF(AND([0]!Godina=2024,MID(Osnovni_podaci!D20,3,1)="e",Osnovni_podaci!L24=5,Osnovni_podaci!G24=0,MID(Osnovni_podaci!D20,3,1)="e",MID(Osnovni_podaci!D20,8,1)="d"),VLOOKUP( $B105, T_Aop[], 6, 1),A1)</f>
        <v xml:space="preserve">  IV EMISIONI GUBITAK</v>
      </c>
      <c r="E105" s="624"/>
      <c r="F105" s="624"/>
      <c r="G105" s="624"/>
      <c r="H105" s="625"/>
      <c r="I105" s="171">
        <f>IF(AND([0]!Godina=2024,MID(Osnovni_podaci!D20,3,1)="e",Osnovni_podaci!L24=5,Osnovni_podaci!G24=0,MID(Osnovni_podaci!D20,3,1)="e",MID(Osnovni_podaci!D20,8,1)="d"),VLOOKUP( $B105, T_Aop[], 4, 1),A1)</f>
        <v>114</v>
      </c>
      <c r="J105" s="155"/>
      <c r="K105" s="688"/>
      <c r="L105" s="689"/>
      <c r="M105" s="198"/>
      <c r="N105" s="199"/>
      <c r="P105" s="44"/>
    </row>
    <row r="106" spans="2:16" x14ac:dyDescent="0.2">
      <c r="B106" s="15">
        <v>82</v>
      </c>
      <c r="C106" s="357" t="str">
        <f>IF(AND([0]!Godina=2024,MID(Osnovni_podaci!D20,3,1)="e",Osnovni_podaci!L24=5,Osnovni_podaci!G24=0,MID(Osnovni_podaci!D20,3,1)="e",MID(Osnovni_podaci!D20,8,1)="d"),VLOOKUP( $B106, T_Aop[], 5, 1),A1)</f>
        <v>dio 32</v>
      </c>
      <c r="D106" s="642" t="str">
        <f>IF(AND([0]!Godina=2024,MID(Osnovni_podaci!D20,3,1)="e",Osnovni_podaci!L24=5,Osnovni_podaci!G24=0,MID(Osnovni_podaci!D20,3,1)="e",MID(Osnovni_podaci!D20,8,1)="d"),VLOOKUP( $B106, T_Aop[], 6, 1),A1)</f>
        <v xml:space="preserve">  V REZERVE (116 do 118)</v>
      </c>
      <c r="E106" s="643"/>
      <c r="F106" s="643"/>
      <c r="G106" s="643"/>
      <c r="H106" s="644"/>
      <c r="I106" s="170">
        <f>IF(AND([0]!Godina=2024,MID(Osnovni_podaci!D20,3,1)="e",Osnovni_podaci!L24=5,Osnovni_podaci!G24=0,MID(Osnovni_podaci!D20,3,1)="e",MID(Osnovni_podaci!D20,8,1)="d"),VLOOKUP( $B106, T_Aop[], 4, 1),A1)</f>
        <v>115</v>
      </c>
      <c r="J106" s="157"/>
      <c r="K106" s="686"/>
      <c r="L106" s="687"/>
      <c r="M106" s="48">
        <f>SUBTOTAL( 9, M107:M109)</f>
        <v>14929655</v>
      </c>
      <c r="N106" s="49">
        <f>SUBTOTAL( 9, N107:N109)</f>
        <v>13457635</v>
      </c>
      <c r="P106" s="44"/>
    </row>
    <row r="107" spans="2:16" x14ac:dyDescent="0.2">
      <c r="B107" s="15">
        <v>83</v>
      </c>
      <c r="C107" s="358">
        <f>IF(AND([0]!Godina=2024,MID(Osnovni_podaci!D20,3,1)="e",Osnovni_podaci!L24=5,Osnovni_podaci!G24=0,MID(Osnovni_podaci!D20,3,1)="e",MID(Osnovni_podaci!D20,8,1)="d"),VLOOKUP( $B107, T_Aop[], 5, 1),A1)</f>
        <v>322</v>
      </c>
      <c r="D107" s="617" t="str">
        <f>IF(AND([0]!Godina=2024,MID(Osnovni_podaci!D20,3,1)="e",Osnovni_podaci!L24=5,Osnovni_podaci!G24=0,MID(Osnovni_podaci!D20,3,1)="e",MID(Osnovni_podaci!D20,8,1)="d"),VLOOKUP( $B107, T_Aop[], 6, 1),A1)</f>
        <v xml:space="preserve">    1. Zakonske rezerve</v>
      </c>
      <c r="E107" s="618"/>
      <c r="F107" s="618"/>
      <c r="G107" s="618"/>
      <c r="H107" s="619"/>
      <c r="I107" s="122">
        <f>IF(AND([0]!Godina=2024,MID(Osnovni_podaci!D20,3,1)="e",Osnovni_podaci!L24=5,Osnovni_podaci!G24=0,MID(Osnovni_podaci!D20,3,1)="e",MID(Osnovni_podaci!D20,8,1)="d"),VLOOKUP( $B107, T_Aop[], 4, 1),A1)</f>
        <v>116</v>
      </c>
      <c r="J107" s="155"/>
      <c r="K107" s="688"/>
      <c r="L107" s="689"/>
      <c r="M107" s="585">
        <f>753359+191243</f>
        <v>944602</v>
      </c>
      <c r="N107" s="575">
        <f>605138+38129</f>
        <v>643267</v>
      </c>
      <c r="P107" s="44"/>
    </row>
    <row r="108" spans="2:16" x14ac:dyDescent="0.2">
      <c r="B108" s="15">
        <v>84</v>
      </c>
      <c r="C108" s="357">
        <f>IF(AND([0]!Godina=2024,MID(Osnovni_podaci!D20,3,1)="e",Osnovni_podaci!L24=5,Osnovni_podaci!G24=0,MID(Osnovni_podaci!D20,3,1)="e",MID(Osnovni_podaci!D20,8,1)="d"),VLOOKUP( $B108, T_Aop[], 5, 1),A1)</f>
        <v>323</v>
      </c>
      <c r="D108" s="620" t="str">
        <f>IF(AND([0]!Godina=2024,MID(Osnovni_podaci!D20,3,1)="e",Osnovni_podaci!L24=5,Osnovni_podaci!G24=0,MID(Osnovni_podaci!D20,3,1)="e",MID(Osnovni_podaci!D20,8,1)="d"),VLOOKUP( $B108, T_Aop[], 6, 1),A1)</f>
        <v xml:space="preserve">    2. Statutarne rezerve</v>
      </c>
      <c r="E108" s="621"/>
      <c r="F108" s="621"/>
      <c r="G108" s="621"/>
      <c r="H108" s="622"/>
      <c r="I108" s="121">
        <f>IF(AND([0]!Godina=2024,MID(Osnovni_podaci!D20,3,1)="e",Osnovni_podaci!L24=5,Osnovni_podaci!G24=0,MID(Osnovni_podaci!D20,3,1)="e",MID(Osnovni_podaci!D20,8,1)="d"),VLOOKUP( $B108, T_Aop[], 4, 1),A1)</f>
        <v>117</v>
      </c>
      <c r="J108" s="157"/>
      <c r="K108" s="686"/>
      <c r="L108" s="687"/>
      <c r="M108" s="159"/>
      <c r="N108" s="581"/>
      <c r="P108" s="44"/>
    </row>
    <row r="109" spans="2:16" x14ac:dyDescent="0.2">
      <c r="B109" s="15">
        <v>85</v>
      </c>
      <c r="C109" s="358">
        <f>IF(AND([0]!Godina=2024,MID(Osnovni_podaci!D20,3,1)="e",Osnovni_podaci!L24=5,Osnovni_podaci!G24=0,MID(Osnovni_podaci!D20,3,1)="e",MID(Osnovni_podaci!D20,8,1)="d"),VLOOKUP( $B109, T_Aop[], 5, 1),A1)</f>
        <v>329</v>
      </c>
      <c r="D109" s="617" t="str">
        <f>IF(AND([0]!Godina=2024,MID(Osnovni_podaci!D20,3,1)="e",Osnovni_podaci!L24=5,Osnovni_podaci!G24=0,MID(Osnovni_podaci!D20,3,1)="e",MID(Osnovni_podaci!D20,8,1)="d"),VLOOKUP( $B109, T_Aop[], 6, 1),A1)</f>
        <v xml:space="preserve">    3. Ostale rezerve</v>
      </c>
      <c r="E109" s="618"/>
      <c r="F109" s="618"/>
      <c r="G109" s="618"/>
      <c r="H109" s="619"/>
      <c r="I109" s="122">
        <f>IF(AND([0]!Godina=2024,MID(Osnovni_podaci!D20,3,1)="e",Osnovni_podaci!L24=5,Osnovni_podaci!G24=0,MID(Osnovni_podaci!D20,3,1)="e",MID(Osnovni_podaci!D20,8,1)="d"),VLOOKUP( $B109, T_Aop[], 4, 1),A1)</f>
        <v>118</v>
      </c>
      <c r="J109" s="155"/>
      <c r="K109" s="688"/>
      <c r="L109" s="689"/>
      <c r="M109" s="586">
        <v>13985053</v>
      </c>
      <c r="N109" s="198">
        <v>12814368</v>
      </c>
      <c r="P109" s="44"/>
    </row>
    <row r="110" spans="2:16" ht="11.25" customHeight="1" x14ac:dyDescent="0.2">
      <c r="B110" s="15">
        <v>86</v>
      </c>
      <c r="C110" s="357" t="str">
        <f>IF(AND([0]!Godina=2024,MID(Osnovni_podaci!D20,3,1)="e",Osnovni_podaci!L24=5,Osnovni_podaci!G24=0,MID(Osnovni_podaci!D20,3,1)="e",MID(Osnovni_podaci!D20,8,1)="d"),VLOOKUP( $B110, T_Aop[], 5, 1),A1)</f>
        <v>dio 33</v>
      </c>
      <c r="D110" s="642" t="str">
        <f>IF(AND([0]!Godina=2024,MID(Osnovni_podaci!D20,3,1)="e",Osnovni_podaci!L24=5,Osnovni_podaci!G24=0,MID(Osnovni_podaci!D20,3,1)="e",MID(Osnovni_podaci!D20,8,1)="d"),VLOOKUP( $B110, T_Aop[], 6, 1),A1)</f>
        <v xml:space="preserve">   VI REVALORIZACIONE REZERVE (120 + 121)</v>
      </c>
      <c r="E110" s="643"/>
      <c r="F110" s="643"/>
      <c r="G110" s="643"/>
      <c r="H110" s="644"/>
      <c r="I110" s="170">
        <f>IF(AND([0]!Godina=2024,MID(Osnovni_podaci!D20,3,1)="e",Osnovni_podaci!L24=5,Osnovni_podaci!G24=0,MID(Osnovni_podaci!D20,3,1)="e",MID(Osnovni_podaci!D20,8,1)="d"),VLOOKUP( $B110, T_Aop[], 4, 1),A1)</f>
        <v>119</v>
      </c>
      <c r="J110" s="157"/>
      <c r="K110" s="686"/>
      <c r="L110" s="687"/>
      <c r="M110" s="48">
        <f>SUBTOTAL( 9, M111:M112)</f>
        <v>27527089</v>
      </c>
      <c r="N110" s="399">
        <f>SUBTOTAL( 9, N111:N112)</f>
        <v>27527089</v>
      </c>
      <c r="P110" s="44"/>
    </row>
    <row r="111" spans="2:16" x14ac:dyDescent="0.2">
      <c r="B111" s="15">
        <v>87</v>
      </c>
      <c r="C111" s="358">
        <f>IF(AND([0]!Godina=2024,MID(Osnovni_podaci!D20,3,1)="e",Osnovni_podaci!L24=5,Osnovni_podaci!G24=0,MID(Osnovni_podaci!D20,3,1)="e",MID(Osnovni_podaci!D20,8,1)="d"),VLOOKUP( $B111, T_Aop[], 5, 1),A1)</f>
        <v>330</v>
      </c>
      <c r="D111" s="617" t="str">
        <f>IF(AND([0]!Godina=2024,MID(Osnovni_podaci!D20,3,1)="e",Osnovni_podaci!L24=5,Osnovni_podaci!G24=0,MID(Osnovni_podaci!D20,3,1)="e",MID(Osnovni_podaci!D20,8,1)="d"),VLOOKUP( $B111, T_Aop[], 6, 1),A1)</f>
        <v xml:space="preserve">    1. Revalorizacione rezerve za nekretnine, postrojenja, opremu i nematerijalna sredstva</v>
      </c>
      <c r="E111" s="618"/>
      <c r="F111" s="618"/>
      <c r="G111" s="618"/>
      <c r="H111" s="619"/>
      <c r="I111" s="122">
        <f>IF(AND([0]!Godina=2024,MID(Osnovni_podaci!D20,3,1)="e",Osnovni_podaci!L24=5,Osnovni_podaci!G24=0,MID(Osnovni_podaci!D20,3,1)="e",MID(Osnovni_podaci!D20,8,1)="d"),VLOOKUP( $B111, T_Aop[], 4, 1),A1)</f>
        <v>120</v>
      </c>
      <c r="J111" s="155"/>
      <c r="K111" s="688"/>
      <c r="L111" s="689"/>
      <c r="M111" s="584">
        <v>27527089</v>
      </c>
      <c r="N111" s="575">
        <v>27527089</v>
      </c>
      <c r="P111" s="44"/>
    </row>
    <row r="112" spans="2:16" x14ac:dyDescent="0.2">
      <c r="B112" s="15">
        <v>88</v>
      </c>
      <c r="C112" s="357" t="str">
        <f>IF(AND([0]!Godina=2024,MID(Osnovni_podaci!D20,3,1)="e",Osnovni_podaci!L24=5,Osnovni_podaci!G24=0,MID(Osnovni_podaci!D20,3,1)="e",MID(Osnovni_podaci!D20,8,1)="d"),VLOOKUP( $B112, T_Aop[], 5, 1),A1)</f>
        <v>331 i 334</v>
      </c>
      <c r="D112" s="620" t="str">
        <f>IF(AND([0]!Godina=2024,MID(Osnovni_podaci!D20,3,1)="e",Osnovni_podaci!L24=5,Osnovni_podaci!G24=0,MID(Osnovni_podaci!D20,3,1)="e",MID(Osnovni_podaci!D20,8,1)="d"),VLOOKUP( $B112, T_Aop[], 6, 1),A1)</f>
        <v xml:space="preserve">    2. Ostale revalorizacione rezerve</v>
      </c>
      <c r="E112" s="621"/>
      <c r="F112" s="621"/>
      <c r="G112" s="621"/>
      <c r="H112" s="622"/>
      <c r="I112" s="121">
        <f>IF(AND([0]!Godina=2024,MID(Osnovni_podaci!D20,3,1)="e",Osnovni_podaci!L24=5,Osnovni_podaci!G24=0,MID(Osnovni_podaci!D20,3,1)="e",MID(Osnovni_podaci!D20,8,1)="d"),VLOOKUP( $B112, T_Aop[], 4, 1),A1)</f>
        <v>121</v>
      </c>
      <c r="J112" s="157"/>
      <c r="K112" s="686"/>
      <c r="L112" s="687"/>
      <c r="M112" s="196"/>
      <c r="N112" s="394"/>
      <c r="P112" s="44"/>
    </row>
    <row r="113" spans="2:16" ht="21" customHeight="1" x14ac:dyDescent="0.2">
      <c r="B113" s="15">
        <v>89</v>
      </c>
      <c r="C113" s="358">
        <f>IF(AND([0]!Godina=2024,MID(Osnovni_podaci!D20,3,1)="e",Osnovni_podaci!L24=5,Osnovni_podaci!G24=0,MID(Osnovni_podaci!D20,3,1)="e",MID(Osnovni_podaci!D20,8,1)="d"),VLOOKUP( $B113, T_Aop[], 5, 1),A1)</f>
        <v>332</v>
      </c>
      <c r="D113" s="675" t="str">
        <f>IF(AND([0]!Godina=2024,MID(Osnovni_podaci!D20,3,1)="e",Osnovni_podaci!L24=5,Osnovni_podaci!G24=0,MID(Osnovni_podaci!D20,3,1)="e",MID(Osnovni_podaci!D20,8,1)="d"),VLOOKUP( $B113, T_Aop[], 6, 1),A1)</f>
        <v xml:space="preserve">  VII POZITIVNI EFEKTI VREDNOVANJA FINANSIJSKIH SREDSTAVA KOJA SE VREDNUJU PO FER VRIJEDNOSTI KROZ OSTALI UKUPNI REZULTAT</v>
      </c>
      <c r="E113" s="676"/>
      <c r="F113" s="676"/>
      <c r="G113" s="676"/>
      <c r="H113" s="677"/>
      <c r="I113" s="171">
        <f>IF(AND([0]!Godina=2024,MID(Osnovni_podaci!D20,3,1)="e",Osnovni_podaci!L24=5,Osnovni_podaci!G24=0,MID(Osnovni_podaci!D20,3,1)="e",MID(Osnovni_podaci!D20,8,1)="d"),VLOOKUP( $B113, T_Aop[], 4, 1),A1)</f>
        <v>122</v>
      </c>
      <c r="J113" s="155"/>
      <c r="K113" s="688"/>
      <c r="L113" s="689"/>
      <c r="M113" s="198"/>
      <c r="N113" s="396"/>
      <c r="P113" s="44"/>
    </row>
    <row r="114" spans="2:16" ht="23.25" customHeight="1" x14ac:dyDescent="0.2">
      <c r="B114" s="15">
        <v>90</v>
      </c>
      <c r="C114" s="357">
        <f>IF(AND([0]!Godina=2024,MID(Osnovni_podaci!D20,3,1)="e",Osnovni_podaci!L24=5,Osnovni_podaci!G24=0,MID(Osnovni_podaci!D20,3,1)="e",MID(Osnovni_podaci!D20,8,1)="d"),VLOOKUP( $B114, T_Aop[], 5, 1),A1)</f>
        <v>333</v>
      </c>
      <c r="D114" s="636" t="str">
        <f>IF(AND([0]!Godina=2024,MID(Osnovni_podaci!D20,3,1)="e",Osnovni_podaci!L24=5,Osnovni_podaci!G24=0,MID(Osnovni_podaci!D20,3,1)="e",MID(Osnovni_podaci!D20,8,1)="d"),VLOOKUP( $B114, T_Aop[], 6, 1),A1)</f>
        <v xml:space="preserve">  VIII NEGATIVNI EFEKTI VREDNOVANJA FINANSIJSKIH SREDSTAVA KOJA SE VREDNUJU PO FER VRIJEDNOSTI KROZ OSTALI UKUPNI REZULTAT</v>
      </c>
      <c r="E114" s="637"/>
      <c r="F114" s="637"/>
      <c r="G114" s="637"/>
      <c r="H114" s="638"/>
      <c r="I114" s="170">
        <f>IF(AND([0]!Godina=2024,MID(Osnovni_podaci!D20,3,1)="e",Osnovni_podaci!L24=5,Osnovni_podaci!G24=0,MID(Osnovni_podaci!D20,3,1)="e",MID(Osnovni_podaci!D20,8,1)="d"),VLOOKUP( $B114, T_Aop[], 4, 1),A1)</f>
        <v>123</v>
      </c>
      <c r="J114" s="157"/>
      <c r="K114" s="686"/>
      <c r="L114" s="687"/>
      <c r="M114" s="200"/>
      <c r="N114" s="397"/>
      <c r="P114" s="44"/>
    </row>
    <row r="115" spans="2:16" x14ac:dyDescent="0.2">
      <c r="B115" s="15">
        <v>91</v>
      </c>
      <c r="C115" s="358">
        <f>IF(AND([0]!Godina=2024,MID(Osnovni_podaci!D20,3,1)="e",Osnovni_podaci!L24=5,Osnovni_podaci!G24=0,MID(Osnovni_podaci!D20,3,1)="e",MID(Osnovni_podaci!D20,8,1)="d"),VLOOKUP( $B115, T_Aop[], 5, 1),A1)</f>
        <v>34</v>
      </c>
      <c r="D115" s="623" t="str">
        <f>IF(AND([0]!Godina=2024,MID(Osnovni_podaci!D20,3,1)="e",Osnovni_podaci!L24=5,Osnovni_podaci!G24=0,MID(Osnovni_podaci!D20,3,1)="e",MID(Osnovni_podaci!D20,8,1)="d"),VLOOKUP( $B115, T_Aop[], 6, 1),A1)</f>
        <v xml:space="preserve">  IX  NERASPOREĐENA DOBIT (125 do 127)</v>
      </c>
      <c r="E115" s="624"/>
      <c r="F115" s="624"/>
      <c r="G115" s="624"/>
      <c r="H115" s="625"/>
      <c r="I115" s="171">
        <f>IF(AND([0]!Godina=2024,MID(Osnovni_podaci!D20,3,1)="e",Osnovni_podaci!L24=5,Osnovni_podaci!G24=0,MID(Osnovni_podaci!D20,3,1)="e",MID(Osnovni_podaci!D20,8,1)="d"),VLOOKUP( $B115, T_Aop[], 4, 1),A1)</f>
        <v>124</v>
      </c>
      <c r="J115" s="155"/>
      <c r="K115" s="688"/>
      <c r="L115" s="689"/>
      <c r="M115" s="50">
        <f>SUBTOTAL( 9, M116:M118)</f>
        <v>42656018</v>
      </c>
      <c r="N115" s="239">
        <f>SUBTOTAL( 9, N116:N118)</f>
        <v>42504243</v>
      </c>
      <c r="P115" s="44"/>
    </row>
    <row r="116" spans="2:16" ht="12" customHeight="1" x14ac:dyDescent="0.2">
      <c r="B116" s="15">
        <v>92</v>
      </c>
      <c r="C116" s="357" t="str">
        <f>IF(AND([0]!Godina=2024,MID(Osnovni_podaci!D20,3,1)="e",Osnovni_podaci!L24=5,Osnovni_podaci!G24=0,MID(Osnovni_podaci!D20,3,1)="e",MID(Osnovni_podaci!D20,8,1)="d"),VLOOKUP( $B116, T_Aop[], 5, 1),A1)</f>
        <v>340 ili 342</v>
      </c>
      <c r="D116" s="678" t="str">
        <f>IF(AND([0]!Godina=2024,MID(Osnovni_podaci!D20,3,1)="e",Osnovni_podaci!L24=5,Osnovni_podaci!G24=0,MID(Osnovni_podaci!D20,3,1)="e",MID(Osnovni_podaci!D20,8,1)="d"),VLOOKUP( $B116, T_Aop[], 6, 1),A1)</f>
        <v xml:space="preserve">    1. Neraspoređena dobit ranijih godina / Neraspoređeni višak prihoda nad rashodima ranijih godina</v>
      </c>
      <c r="E116" s="679"/>
      <c r="F116" s="679"/>
      <c r="G116" s="679"/>
      <c r="H116" s="680"/>
      <c r="I116" s="121">
        <f>IF(AND([0]!Godina=2024,MID(Osnovni_podaci!D20,3,1)="e",Osnovni_podaci!L24=5,Osnovni_podaci!G24=0,MID(Osnovni_podaci!D20,3,1)="e",MID(Osnovni_podaci!D20,8,1)="d"),VLOOKUP( $B116, T_Aop[], 4, 1),A1)</f>
        <v>125</v>
      </c>
      <c r="J116" s="157"/>
      <c r="K116" s="686"/>
      <c r="L116" s="687"/>
      <c r="M116" s="587">
        <f>39143710+495775+2500000</f>
        <v>42139485</v>
      </c>
      <c r="N116" s="582">
        <f>36327510+147871+501597</f>
        <v>36976978</v>
      </c>
      <c r="P116" s="44"/>
    </row>
    <row r="117" spans="2:16" ht="12" customHeight="1" x14ac:dyDescent="0.2">
      <c r="B117" s="15">
        <v>93</v>
      </c>
      <c r="C117" s="358" t="str">
        <f>IF(AND([0]!Godina=2024,MID(Osnovni_podaci!D20,3,1)="e",Osnovni_podaci!L24=5,Osnovni_podaci!G24=0,MID(Osnovni_podaci!D20,3,1)="e",MID(Osnovni_podaci!D20,8,1)="d"),VLOOKUP( $B117, T_Aop[], 5, 1),A1)</f>
        <v>341 ili 343</v>
      </c>
      <c r="D117" s="681" t="str">
        <f>IF(AND([0]!Godina=2024,MID(Osnovni_podaci!D20,3,1)="e",Osnovni_podaci!L24=5,Osnovni_podaci!G24=0,MID(Osnovni_podaci!D20,3,1)="e",MID(Osnovni_podaci!D20,8,1)="d"),VLOOKUP( $B117, T_Aop[], 6, 1),A1)</f>
        <v xml:space="preserve">    2. Neraspoređena dobit tekuće godine / Neraspoređeni višak prihoda nad rashodima tekuće godine</v>
      </c>
      <c r="E117" s="682"/>
      <c r="F117" s="682"/>
      <c r="G117" s="682"/>
      <c r="H117" s="683"/>
      <c r="I117" s="122">
        <f>IF(AND([0]!Godina=2024,MID(Osnovni_podaci!D20,3,1)="e",Osnovni_podaci!L24=5,Osnovni_podaci!G24=0,MID(Osnovni_podaci!D20,3,1)="e",MID(Osnovni_podaci!D20,8,1)="d"),VLOOKUP( $B117, T_Aop[], 4, 1),A1)</f>
        <v>126</v>
      </c>
      <c r="J117" s="155"/>
      <c r="K117" s="688"/>
      <c r="L117" s="689"/>
      <c r="M117" s="585">
        <f>2476606+539927-2500000</f>
        <v>516533</v>
      </c>
      <c r="N117" s="575">
        <f>2320090+3207175</f>
        <v>5527265</v>
      </c>
      <c r="P117" s="44"/>
    </row>
    <row r="118" spans="2:16" x14ac:dyDescent="0.2">
      <c r="B118" s="15">
        <v>94</v>
      </c>
      <c r="C118" s="357">
        <f>IF(AND([0]!Godina=2024,MID(Osnovni_podaci!D20,3,1)="e",Osnovni_podaci!L24=5,Osnovni_podaci!G24=0,MID(Osnovni_podaci!D20,3,1)="e",MID(Osnovni_podaci!D20,8,1)="d"),VLOOKUP( $B118, T_Aop[], 5, 1),A1)</f>
        <v>344</v>
      </c>
      <c r="D118" s="620" t="str">
        <f>IF(AND([0]!Godina=2024,MID(Osnovni_podaci!D20,3,1)="e",Osnovni_podaci!L24=5,Osnovni_podaci!G24=0,MID(Osnovni_podaci!D20,3,1)="e",MID(Osnovni_podaci!D20,8,1)="d"),VLOOKUP( $B118, T_Aop[], 6, 1),A1)</f>
        <v xml:space="preserve">    3. Neto prihod od samostalne djelatnosti</v>
      </c>
      <c r="E118" s="621"/>
      <c r="F118" s="621"/>
      <c r="G118" s="621"/>
      <c r="H118" s="622"/>
      <c r="I118" s="121">
        <f>IF(AND([0]!Godina=2024,MID(Osnovni_podaci!D20,3,1)="e",Osnovni_podaci!L24=5,Osnovni_podaci!G24=0,MID(Osnovni_podaci!D20,3,1)="e",MID(Osnovni_podaci!D20,8,1)="d"),VLOOKUP( $B118, T_Aop[], 4, 1),A1)</f>
        <v>127</v>
      </c>
      <c r="J118" s="157"/>
      <c r="K118" s="686"/>
      <c r="L118" s="687"/>
      <c r="M118" s="196"/>
      <c r="N118" s="394"/>
      <c r="P118" s="44"/>
    </row>
    <row r="119" spans="2:16" x14ac:dyDescent="0.2">
      <c r="B119" s="15">
        <v>95</v>
      </c>
      <c r="C119" s="358" t="str">
        <f>IF(AND([0]!Godina=2024,MID(Osnovni_podaci!D20,3,1)="e",Osnovni_podaci!L24=5,Osnovni_podaci!G24=0,MID(Osnovni_podaci!D20,3,1)="e",MID(Osnovni_podaci!D20,8,1)="d"),VLOOKUP( $B119, T_Aop[], 5, 1),A1)</f>
        <v>35</v>
      </c>
      <c r="D119" s="623" t="str">
        <f>IF(AND([0]!Godina=2024,MID(Osnovni_podaci!D20,3,1)="e",Osnovni_podaci!L24=5,Osnovni_podaci!G24=0,MID(Osnovni_podaci!D20,3,1)="e",MID(Osnovni_podaci!D20,8,1)="d"),VLOOKUP( $B119, T_Aop[], 6, 1),A1)</f>
        <v xml:space="preserve">  X GUBITAK (129 + 130)  </v>
      </c>
      <c r="E119" s="624"/>
      <c r="F119" s="624"/>
      <c r="G119" s="624"/>
      <c r="H119" s="625"/>
      <c r="I119" s="171">
        <f>IF(AND([0]!Godina=2024,MID(Osnovni_podaci!D20,3,1)="e",Osnovni_podaci!L24=5,Osnovni_podaci!G24=0,MID(Osnovni_podaci!D20,3,1)="e",MID(Osnovni_podaci!D20,8,1)="d"),VLOOKUP( $B119, T_Aop[], 4, 1),A1)</f>
        <v>128</v>
      </c>
      <c r="J119" s="155"/>
      <c r="K119" s="688"/>
      <c r="L119" s="689"/>
      <c r="M119" s="50">
        <f>SUBTOTAL( 9, M120:M121)</f>
        <v>0</v>
      </c>
      <c r="N119" s="239">
        <f>SUBTOTAL( 9, N120:N121)</f>
        <v>0</v>
      </c>
      <c r="P119" s="44"/>
    </row>
    <row r="120" spans="2:16" x14ac:dyDescent="0.2">
      <c r="B120" s="15">
        <v>96</v>
      </c>
      <c r="C120" s="357" t="str">
        <f>IF(AND([0]!Godina=2024,MID(Osnovni_podaci!D20,3,1)="e",Osnovni_podaci!L24=5,Osnovni_podaci!G24=0,MID(Osnovni_podaci!D20,3,1)="e",MID(Osnovni_podaci!D20,8,1)="d"),VLOOKUP( $B120, T_Aop[], 5, 1),A1)</f>
        <v>350 ili 352</v>
      </c>
      <c r="D120" s="620" t="str">
        <f>IF(AND([0]!Godina=2024,MID(Osnovni_podaci!D20,3,1)="e",Osnovni_podaci!L24=5,Osnovni_podaci!G24=0,MID(Osnovni_podaci!D20,3,1)="e",MID(Osnovni_podaci!D20,8,1)="d"),VLOOKUP( $B120, T_Aop[], 6, 1),A1)</f>
        <v xml:space="preserve">    1. Gubitak ranijih godina / Višak rashoda nad prihodima ranijih godina</v>
      </c>
      <c r="E120" s="621"/>
      <c r="F120" s="621"/>
      <c r="G120" s="621"/>
      <c r="H120" s="622"/>
      <c r="I120" s="121">
        <f>IF(AND([0]!Godina=2024,MID(Osnovni_podaci!D20,3,1)="e",Osnovni_podaci!L24=5,Osnovni_podaci!G24=0,MID(Osnovni_podaci!D20,3,1)="e",MID(Osnovni_podaci!D20,8,1)="d"),VLOOKUP( $B120, T_Aop[], 4, 1),A1)</f>
        <v>129</v>
      </c>
      <c r="J120" s="157"/>
      <c r="K120" s="686"/>
      <c r="L120" s="687"/>
      <c r="M120" s="196"/>
      <c r="N120" s="394"/>
      <c r="P120" s="44"/>
    </row>
    <row r="121" spans="2:16" x14ac:dyDescent="0.2">
      <c r="B121" s="15">
        <v>97</v>
      </c>
      <c r="C121" s="358" t="str">
        <f>IF(AND([0]!Godina=2024,MID(Osnovni_podaci!D20,3,1)="e",Osnovni_podaci!L24=5,Osnovni_podaci!G24=0,MID(Osnovni_podaci!D20,3,1)="e",MID(Osnovni_podaci!D20,8,1)="d"),VLOOKUP( $B121, T_Aop[], 5, 1),A1)</f>
        <v>351 ili 353</v>
      </c>
      <c r="D121" s="617" t="str">
        <f>IF(AND([0]!Godina=2024,MID(Osnovni_podaci!D20,3,1)="e",Osnovni_podaci!L24=5,Osnovni_podaci!G24=0,MID(Osnovni_podaci!D20,3,1)="e",MID(Osnovni_podaci!D20,8,1)="d"),VLOOKUP( $B121, T_Aop[], 6, 1),A1)</f>
        <v xml:space="preserve">    2. Gubitak tekuće godine / Višak rashoda nad prihodima tekuće godine</v>
      </c>
      <c r="E121" s="618"/>
      <c r="F121" s="618"/>
      <c r="G121" s="618"/>
      <c r="H121" s="619"/>
      <c r="I121" s="122">
        <f>IF(AND([0]!Godina=2024,MID(Osnovni_podaci!D20,3,1)="e",Osnovni_podaci!L24=5,Osnovni_podaci!G24=0,MID(Osnovni_podaci!D20,3,1)="e",MID(Osnovni_podaci!D20,8,1)="d"),VLOOKUP( $B121, T_Aop[], 4, 1),A1)</f>
        <v>130</v>
      </c>
      <c r="J121" s="155"/>
      <c r="K121" s="688"/>
      <c r="L121" s="689"/>
      <c r="M121" s="194"/>
      <c r="N121" s="395"/>
      <c r="P121" s="44"/>
    </row>
    <row r="122" spans="2:16" x14ac:dyDescent="0.2">
      <c r="B122" s="15">
        <v>98</v>
      </c>
      <c r="C122" s="357" t="str">
        <f>IF(AND([0]!Godina=2024,MID(Osnovni_podaci!D20,3,1)="e",Osnovni_podaci!L24=5,Osnovni_podaci!G24=0,MID(Osnovni_podaci!D20,3,1)="e",MID(Osnovni_podaci!D20,8,1)="d"),VLOOKUP( $B122, T_Aop[], 5, 1),A1)</f>
        <v xml:space="preserve"> </v>
      </c>
      <c r="D122" s="642" t="str">
        <f>IF(AND([0]!Godina=2024,MID(Osnovni_podaci!D20,3,1)="e",Osnovni_podaci!L24=5,Osnovni_podaci!G24=0,MID(Osnovni_podaci!D20,3,1)="e",MID(Osnovni_podaci!D20,8,1)="d"),VLOOKUP( $B122, T_Aop[], 6, 1),A1)</f>
        <v xml:space="preserve">  XI UČEŠĆA BEZ PRAVA KONTROLE</v>
      </c>
      <c r="E122" s="643"/>
      <c r="F122" s="643"/>
      <c r="G122" s="643"/>
      <c r="H122" s="644"/>
      <c r="I122" s="170">
        <f>IF(AND([0]!Godina=2024,MID(Osnovni_podaci!D20,3,1)="e",Osnovni_podaci!L24=5,Osnovni_podaci!G24=0,MID(Osnovni_podaci!D20,3,1)="e",MID(Osnovni_podaci!D20,8,1)="d"),VLOOKUP( $B122, T_Aop[], 4, 1),A1)</f>
        <v>131</v>
      </c>
      <c r="J122" s="157"/>
      <c r="K122" s="686"/>
      <c r="L122" s="687"/>
      <c r="M122" s="200"/>
      <c r="N122" s="397"/>
      <c r="P122" s="44"/>
    </row>
    <row r="123" spans="2:16" x14ac:dyDescent="0.2">
      <c r="B123" s="15">
        <v>99</v>
      </c>
      <c r="C123" s="358" t="str">
        <f>IF(AND([0]!Godina=2024,MID(Osnovni_podaci!D20,3,1)="e",Osnovni_podaci!L24=5,Osnovni_podaci!G24=0,MID(Osnovni_podaci!D20,3,1)="e",MID(Osnovni_podaci!D20,8,1)="d"),VLOOKUP( $B123, T_Aop[], 5, 1),A1)</f>
        <v xml:space="preserve"> </v>
      </c>
      <c r="D123" s="623" t="str">
        <f>IF(AND([0]!Godina=2024,MID(Osnovni_podaci!D20,3,1)="e",Osnovni_podaci!L24=5,Osnovni_podaci!G24=0,MID(Osnovni_podaci!D20,3,1)="e",MID(Osnovni_podaci!D20,8,1)="d"),VLOOKUP( $B123, T_Aop[], 6, 1),A1)</f>
        <v xml:space="preserve">  B. DUGOROČNA REZERVISANJA I DUGOROČNE OBAVEZE (133 + 137 + 145)</v>
      </c>
      <c r="E123" s="624"/>
      <c r="F123" s="624"/>
      <c r="G123" s="624"/>
      <c r="H123" s="625"/>
      <c r="I123" s="171">
        <f>IF(AND([0]!Godina=2024,MID(Osnovni_podaci!D20,3,1)="e",Osnovni_podaci!L24=5,Osnovni_podaci!G24=0,MID(Osnovni_podaci!D20,3,1)="e",MID(Osnovni_podaci!D20,8,1)="d"),VLOOKUP( $B123, T_Aop[], 4, 1),A1)</f>
        <v>132</v>
      </c>
      <c r="J123" s="155"/>
      <c r="K123" s="688"/>
      <c r="L123" s="689"/>
      <c r="M123" s="387">
        <f>SUBTOTAL( 9, M124:M136)</f>
        <v>42983430</v>
      </c>
      <c r="N123" s="398">
        <f>SUBTOTAL( 9, N124:N136)</f>
        <v>40051926</v>
      </c>
      <c r="P123" s="44"/>
    </row>
    <row r="124" spans="2:16" x14ac:dyDescent="0.2">
      <c r="B124" s="15">
        <v>100</v>
      </c>
      <c r="C124" s="357" t="str">
        <f>IF(AND([0]!Godina=2024,MID(Osnovni_podaci!D20,3,1)="e",Osnovni_podaci!L24=5,Osnovni_podaci!G24=0,MID(Osnovni_podaci!D20,3,1)="e",MID(Osnovni_podaci!D20,8,1)="d"),VLOOKUP( $B124, T_Aop[], 5, 1),A1)</f>
        <v>dio 40</v>
      </c>
      <c r="D124" s="642" t="str">
        <f>IF(AND([0]!Godina=2024,MID(Osnovni_podaci!D20,3,1)="e",Osnovni_podaci!L24=5,Osnovni_podaci!G24=0,MID(Osnovni_podaci!D20,3,1)="e",MID(Osnovni_podaci!D20,8,1)="d"),VLOOKUP( $B124, T_Aop[], 6, 1),A1)</f>
        <v xml:space="preserve">  I DUGOROČNA REZERVISANJA (134 do 136)</v>
      </c>
      <c r="E124" s="643"/>
      <c r="F124" s="643"/>
      <c r="G124" s="643"/>
      <c r="H124" s="644"/>
      <c r="I124" s="170">
        <f>IF(AND([0]!Godina=2024,MID(Osnovni_podaci!D20,3,1)="e",Osnovni_podaci!L24=5,Osnovni_podaci!G24=0,MID(Osnovni_podaci!D20,3,1)="e",MID(Osnovni_podaci!D20,8,1)="d"),VLOOKUP( $B124, T_Aop[], 4, 1),A1)</f>
        <v>133</v>
      </c>
      <c r="J124" s="157"/>
      <c r="K124" s="686"/>
      <c r="L124" s="687"/>
      <c r="M124" s="48">
        <f>SUBTOTAL( 9, M125:M127)</f>
        <v>820424</v>
      </c>
      <c r="N124" s="399">
        <f>SUBTOTAL( 9, N125:N127)</f>
        <v>980155</v>
      </c>
      <c r="P124" s="44"/>
    </row>
    <row r="125" spans="2:16" x14ac:dyDescent="0.2">
      <c r="B125" s="15">
        <v>101</v>
      </c>
      <c r="C125" s="358">
        <f>IF(AND([0]!Godina=2024,MID(Osnovni_podaci!D20,3,1)="e",Osnovni_podaci!L24=5,Osnovni_podaci!G24=0,MID(Osnovni_podaci!D20,3,1)="e",MID(Osnovni_podaci!D20,8,1)="d"),VLOOKUP( $B125, T_Aop[], 5, 1),A1)</f>
        <v>400</v>
      </c>
      <c r="D125" s="617" t="str">
        <f>IF(AND([0]!Godina=2024,MID(Osnovni_podaci!D20,3,1)="e",Osnovni_podaci!L24=5,Osnovni_podaci!G24=0,MID(Osnovni_podaci!D20,3,1)="e",MID(Osnovni_podaci!D20,8,1)="d"),VLOOKUP( $B125, T_Aop[], 6, 1),A1)</f>
        <v xml:space="preserve">    1. Rezervisanja za troškove u garantnom roku</v>
      </c>
      <c r="E125" s="618"/>
      <c r="F125" s="618"/>
      <c r="G125" s="618"/>
      <c r="H125" s="619"/>
      <c r="I125" s="122">
        <f>IF(AND([0]!Godina=2024,MID(Osnovni_podaci!D20,3,1)="e",Osnovni_podaci!L24=5,Osnovni_podaci!G24=0,MID(Osnovni_podaci!D20,3,1)="e",MID(Osnovni_podaci!D20,8,1)="d"),VLOOKUP( $B125, T_Aop[], 4, 1),A1)</f>
        <v>134</v>
      </c>
      <c r="J125" s="155"/>
      <c r="K125" s="688"/>
      <c r="L125" s="689"/>
      <c r="M125" s="585"/>
      <c r="N125" s="575"/>
      <c r="P125" s="44"/>
    </row>
    <row r="126" spans="2:16" x14ac:dyDescent="0.2">
      <c r="B126" s="15">
        <v>102</v>
      </c>
      <c r="C126" s="357">
        <f>IF(AND([0]!Godina=2024,MID(Osnovni_podaci!D20,3,1)="e",Osnovni_podaci!L24=5,Osnovni_podaci!G24=0,MID(Osnovni_podaci!D20,3,1)="e",MID(Osnovni_podaci!D20,8,1)="d"),VLOOKUP( $B126, T_Aop[], 5, 1),A1)</f>
        <v>404</v>
      </c>
      <c r="D126" s="620" t="str">
        <f>IF(AND([0]!Godina=2024,MID(Osnovni_podaci!D20,3,1)="e",Osnovni_podaci!L24=5,Osnovni_podaci!G24=0,MID(Osnovni_podaci!D20,3,1)="e",MID(Osnovni_podaci!D20,8,1)="d"),VLOOKUP( $B126, T_Aop[], 6, 1),A1)</f>
        <v xml:space="preserve">    2. Rezervisanja za naknade i beneficije zaposlenih</v>
      </c>
      <c r="E126" s="621"/>
      <c r="F126" s="621"/>
      <c r="G126" s="621"/>
      <c r="H126" s="622"/>
      <c r="I126" s="121">
        <f>IF(AND([0]!Godina=2024,MID(Osnovni_podaci!D20,3,1)="e",Osnovni_podaci!L24=5,Osnovni_podaci!G24=0,MID(Osnovni_podaci!D20,3,1)="e",MID(Osnovni_podaci!D20,8,1)="d"),VLOOKUP( $B126, T_Aop[], 4, 1),A1)</f>
        <v>135</v>
      </c>
      <c r="J126" s="157"/>
      <c r="K126" s="686"/>
      <c r="L126" s="687"/>
      <c r="M126" s="587">
        <f>678939+85645</f>
        <v>764584</v>
      </c>
      <c r="N126" s="582">
        <f>796374+127941</f>
        <v>924315</v>
      </c>
      <c r="P126" s="44"/>
    </row>
    <row r="127" spans="2:16" x14ac:dyDescent="0.2">
      <c r="B127" s="15">
        <v>103</v>
      </c>
      <c r="C127" s="358" t="str">
        <f>IF(AND([0]!Godina=2024,MID(Osnovni_podaci!D20,3,1)="e",Osnovni_podaci!L24=5,Osnovni_podaci!G24=0,MID(Osnovni_podaci!D20,3,1)="e",MID(Osnovni_podaci!D20,8,1)="d"),VLOOKUP( $B127, T_Aop[], 5, 1),A1)</f>
        <v>401, 402, 403, dio 409</v>
      </c>
      <c r="D127" s="617" t="str">
        <f>IF(AND([0]!Godina=2024,MID(Osnovni_podaci!D20,3,1)="e",Osnovni_podaci!L24=5,Osnovni_podaci!G24=0,MID(Osnovni_podaci!D20,3,1)="e",MID(Osnovni_podaci!D20,8,1)="d"),VLOOKUP( $B127, T_Aop[], 6, 1),A1)</f>
        <v xml:space="preserve">    3. Ostala dugoročna rezervisanja</v>
      </c>
      <c r="E127" s="618"/>
      <c r="F127" s="618"/>
      <c r="G127" s="618"/>
      <c r="H127" s="619"/>
      <c r="I127" s="122">
        <f>IF(AND([0]!Godina=2024,MID(Osnovni_podaci!D20,3,1)="e",Osnovni_podaci!L24=5,Osnovni_podaci!G24=0,MID(Osnovni_podaci!D20,3,1)="e",MID(Osnovni_podaci!D20,8,1)="d"),VLOOKUP( $B127, T_Aop[], 4, 1),A1)</f>
        <v>136</v>
      </c>
      <c r="J127" s="155"/>
      <c r="K127" s="688"/>
      <c r="L127" s="689"/>
      <c r="M127" s="585">
        <v>55840</v>
      </c>
      <c r="N127" s="575">
        <v>55840</v>
      </c>
      <c r="P127" s="44"/>
    </row>
    <row r="128" spans="2:16" x14ac:dyDescent="0.2">
      <c r="B128" s="15">
        <v>104</v>
      </c>
      <c r="C128" s="357" t="str">
        <f>IF(AND([0]!Godina=2024,MID(Osnovni_podaci!D20,3,1)="e",Osnovni_podaci!L24=5,Osnovni_podaci!G24=0,MID(Osnovni_podaci!D20,3,1)="e",MID(Osnovni_podaci!D20,8,1)="d"),VLOOKUP( $B128, T_Aop[], 5, 1),A1)</f>
        <v xml:space="preserve"> </v>
      </c>
      <c r="D128" s="642" t="str">
        <f>IF(AND([0]!Godina=2024,MID(Osnovni_podaci!D20,3,1)="e",Osnovni_podaci!L24=5,Osnovni_podaci!G24=0,MID(Osnovni_podaci!D20,3,1)="e",MID(Osnovni_podaci!D20,8,1)="d"),VLOOKUP( $B128, T_Aop[], 6, 1),A1)</f>
        <v xml:space="preserve">  II DUGOROČNE OBAVEZE (138 do 144)</v>
      </c>
      <c r="E128" s="643"/>
      <c r="F128" s="643"/>
      <c r="G128" s="643"/>
      <c r="H128" s="644"/>
      <c r="I128" s="170">
        <f>IF(AND([0]!Godina=2024,MID(Osnovni_podaci!D20,3,1)="e",Osnovni_podaci!L24=5,Osnovni_podaci!G24=0,MID(Osnovni_podaci!D20,3,1)="e",MID(Osnovni_podaci!D20,8,1)="d"),VLOOKUP( $B128, T_Aop[], 4, 1),A1)</f>
        <v>137</v>
      </c>
      <c r="J128" s="157"/>
      <c r="K128" s="686"/>
      <c r="L128" s="687"/>
      <c r="M128" s="48">
        <f>SUBTOTAL( 9, M129:M135)</f>
        <v>29054932</v>
      </c>
      <c r="N128" s="399">
        <f>SUBTOTAL( 9, N129:N135)</f>
        <v>25796741</v>
      </c>
      <c r="P128" s="44"/>
    </row>
    <row r="129" spans="2:16" x14ac:dyDescent="0.2">
      <c r="B129" s="15">
        <v>105</v>
      </c>
      <c r="C129" s="358">
        <f>IF(AND([0]!Godina=2024,MID(Osnovni_podaci!D20,3,1)="e",Osnovni_podaci!L24=5,Osnovni_podaci!G24=0,MID(Osnovni_podaci!D20,3,1)="e",MID(Osnovni_podaci!D20,8,1)="d"),VLOOKUP( $B129, T_Aop[], 5, 1),A1)</f>
        <v>411</v>
      </c>
      <c r="D129" s="617" t="str">
        <f>IF(AND([0]!Godina=2024,MID(Osnovni_podaci!D20,3,1)="e",Osnovni_podaci!L24=5,Osnovni_podaci!G24=0,MID(Osnovni_podaci!D20,3,1)="e",MID(Osnovni_podaci!D20,8,1)="d"),VLOOKUP( $B129, T_Aop[], 6, 1),A1)</f>
        <v xml:space="preserve">    1. Obaveze prema povezanim pravnim licima</v>
      </c>
      <c r="E129" s="618"/>
      <c r="F129" s="618"/>
      <c r="G129" s="618"/>
      <c r="H129" s="619"/>
      <c r="I129" s="122">
        <f>IF(AND([0]!Godina=2024,MID(Osnovni_podaci!D20,3,1)="e",Osnovni_podaci!L24=5,Osnovni_podaci!G24=0,MID(Osnovni_podaci!D20,3,1)="e",MID(Osnovni_podaci!D20,8,1)="d"),VLOOKUP( $B129, T_Aop[], 4, 1),A1)</f>
        <v>138</v>
      </c>
      <c r="J129" s="155"/>
      <c r="K129" s="688"/>
      <c r="L129" s="689"/>
      <c r="M129" s="585">
        <v>13648497</v>
      </c>
      <c r="N129" s="575">
        <v>10276002</v>
      </c>
      <c r="P129" s="44"/>
    </row>
    <row r="130" spans="2:16" x14ac:dyDescent="0.2">
      <c r="B130" s="15">
        <v>106</v>
      </c>
      <c r="C130" s="357">
        <f>IF(AND([0]!Godina=2024,MID(Osnovni_podaci!D20,3,1)="e",Osnovni_podaci!L24=5,Osnovni_podaci!G24=0,MID(Osnovni_podaci!D20,3,1)="e",MID(Osnovni_podaci!D20,8,1)="d"),VLOOKUP( $B130, T_Aop[], 5, 1),A1)</f>
        <v>413</v>
      </c>
      <c r="D130" s="620" t="str">
        <f>IF(AND([0]!Godina=2024,MID(Osnovni_podaci!D20,3,1)="e",Osnovni_podaci!L24=5,Osnovni_podaci!G24=0,MID(Osnovni_podaci!D20,3,1)="e",MID(Osnovni_podaci!D20,8,1)="d"),VLOOKUP( $B130, T_Aop[], 6, 1),A1)</f>
        <v xml:space="preserve">    2. Dugoročni krediti u zemlji</v>
      </c>
      <c r="E130" s="621"/>
      <c r="F130" s="621"/>
      <c r="G130" s="621"/>
      <c r="H130" s="622"/>
      <c r="I130" s="121">
        <f>IF(AND([0]!Godina=2024,MID(Osnovni_podaci!D20,3,1)="e",Osnovni_podaci!L24=5,Osnovni_podaci!G24=0,MID(Osnovni_podaci!D20,3,1)="e",MID(Osnovni_podaci!D20,8,1)="d"),VLOOKUP( $B130, T_Aop[], 4, 1),A1)</f>
        <v>139</v>
      </c>
      <c r="J130" s="157"/>
      <c r="K130" s="686"/>
      <c r="L130" s="687"/>
      <c r="M130" s="587">
        <v>7873892</v>
      </c>
      <c r="N130" s="582">
        <v>7828416</v>
      </c>
      <c r="P130" s="44"/>
    </row>
    <row r="131" spans="2:16" x14ac:dyDescent="0.2">
      <c r="B131" s="15">
        <v>107</v>
      </c>
      <c r="C131" s="358">
        <f>IF(AND([0]!Godina=2024,MID(Osnovni_podaci!D20,3,1)="e",Osnovni_podaci!L24=5,Osnovni_podaci!G24=0,MID(Osnovni_podaci!D20,3,1)="e",MID(Osnovni_podaci!D20,8,1)="d"),VLOOKUP( $B131, T_Aop[], 5, 1),A1)</f>
        <v>414</v>
      </c>
      <c r="D131" s="617" t="str">
        <f>IF(AND([0]!Godina=2024,MID(Osnovni_podaci!D20,3,1)="e",Osnovni_podaci!L24=5,Osnovni_podaci!G24=0,MID(Osnovni_podaci!D20,3,1)="e",MID(Osnovni_podaci!D20,8,1)="d"),VLOOKUP( $B131, T_Aop[], 6, 1),A1)</f>
        <v xml:space="preserve">    3. Dugoročni krediti u inostranstvu</v>
      </c>
      <c r="E131" s="618"/>
      <c r="F131" s="618"/>
      <c r="G131" s="618"/>
      <c r="H131" s="619"/>
      <c r="I131" s="122">
        <f>IF(AND([0]!Godina=2024,MID(Osnovni_podaci!D20,3,1)="e",Osnovni_podaci!L24=5,Osnovni_podaci!G24=0,MID(Osnovni_podaci!D20,3,1)="e",MID(Osnovni_podaci!D20,8,1)="d"),VLOOKUP( $B131, T_Aop[], 4, 1),A1)</f>
        <v>140</v>
      </c>
      <c r="J131" s="155"/>
      <c r="K131" s="688"/>
      <c r="L131" s="689"/>
      <c r="M131" s="585">
        <v>3603784</v>
      </c>
      <c r="N131" s="575">
        <v>3763425</v>
      </c>
      <c r="P131" s="44"/>
    </row>
    <row r="132" spans="2:16" x14ac:dyDescent="0.2">
      <c r="B132" s="15">
        <v>108</v>
      </c>
      <c r="C132" s="357">
        <f>IF(AND([0]!Godina=2024,MID(Osnovni_podaci!D20,3,1)="e",Osnovni_podaci!L24=5,Osnovni_podaci!G24=0,MID(Osnovni_podaci!D20,3,1)="e",MID(Osnovni_podaci!D20,8,1)="d"),VLOOKUP( $B132, T_Aop[], 5, 1),A1)</f>
        <v>412</v>
      </c>
      <c r="D132" s="620" t="str">
        <f>IF(AND([0]!Godina=2024,MID(Osnovni_podaci!D20,3,1)="e",Osnovni_podaci!L24=5,Osnovni_podaci!G24=0,MID(Osnovni_podaci!D20,3,1)="e",MID(Osnovni_podaci!D20,8,1)="d"),VLOOKUP( $B132, T_Aop[], 6, 1),A1)</f>
        <v xml:space="preserve">    4. Obaveze po emitovanim dužničkim instrumentima</v>
      </c>
      <c r="E132" s="621"/>
      <c r="F132" s="621"/>
      <c r="G132" s="621"/>
      <c r="H132" s="622"/>
      <c r="I132" s="121">
        <f>IF(AND([0]!Godina=2024,MID(Osnovni_podaci!D20,3,1)="e",Osnovni_podaci!L24=5,Osnovni_podaci!G24=0,MID(Osnovni_podaci!D20,3,1)="e",MID(Osnovni_podaci!D20,8,1)="d"),VLOOKUP( $B132, T_Aop[], 4, 1),A1)</f>
        <v>141</v>
      </c>
      <c r="J132" s="157"/>
      <c r="K132" s="686"/>
      <c r="L132" s="687"/>
      <c r="M132" s="587">
        <v>3644854</v>
      </c>
      <c r="N132" s="582">
        <v>3644854</v>
      </c>
      <c r="P132" s="44"/>
    </row>
    <row r="133" spans="2:16" x14ac:dyDescent="0.2">
      <c r="B133" s="15">
        <v>109</v>
      </c>
      <c r="C133" s="358" t="str">
        <f>IF(AND([0]!Godina=2024,MID(Osnovni_podaci!D20,3,1)="e",Osnovni_podaci!L24=5,Osnovni_podaci!G24=0,MID(Osnovni_podaci!D20,3,1)="e",MID(Osnovni_podaci!D20,8,1)="d"),VLOOKUP( $B133, T_Aop[], 5, 1),A1)</f>
        <v>415, 416</v>
      </c>
      <c r="D133" s="617" t="str">
        <f>IF(AND([0]!Godina=2024,MID(Osnovni_podaci!D20,3,1)="e",Osnovni_podaci!L24=5,Osnovni_podaci!G24=0,MID(Osnovni_podaci!D20,3,1)="e",MID(Osnovni_podaci!D20,8,1)="d"),VLOOKUP( $B133, T_Aop[], 6, 1),A1)</f>
        <v xml:space="preserve">    5. Dugoročne obaveze po lizingu</v>
      </c>
      <c r="E133" s="618"/>
      <c r="F133" s="618"/>
      <c r="G133" s="618"/>
      <c r="H133" s="619"/>
      <c r="I133" s="122">
        <f>IF(AND([0]!Godina=2024,MID(Osnovni_podaci!D20,3,1)="e",Osnovni_podaci!L24=5,Osnovni_podaci!G24=0,MID(Osnovni_podaci!D20,3,1)="e",MID(Osnovni_podaci!D20,8,1)="d"),VLOOKUP( $B133, T_Aop[], 4, 1),A1)</f>
        <v>142</v>
      </c>
      <c r="J133" s="155"/>
      <c r="K133" s="688"/>
      <c r="L133" s="689"/>
      <c r="M133" s="585">
        <v>147721</v>
      </c>
      <c r="N133" s="575">
        <f>147860+28832-28832</f>
        <v>147860</v>
      </c>
      <c r="P133" s="44"/>
    </row>
    <row r="134" spans="2:16" x14ac:dyDescent="0.2">
      <c r="B134" s="15">
        <v>110</v>
      </c>
      <c r="C134" s="357" t="str">
        <f>IF(AND([0]!Godina=2024,MID(Osnovni_podaci!D20,3,1)="e",Osnovni_podaci!L24=5,Osnovni_podaci!G24=0,MID(Osnovni_podaci!D20,3,1)="e",MID(Osnovni_podaci!D20,8,1)="d"),VLOOKUP( $B134, T_Aop[], 5, 1),A1)</f>
        <v>418</v>
      </c>
      <c r="D134" s="620" t="str">
        <f>IF(AND([0]!Godina=2024,MID(Osnovni_podaci!D20,3,1)="e",Osnovni_podaci!L24=5,Osnovni_podaci!G24=0,MID(Osnovni_podaci!D20,3,1)="e",MID(Osnovni_podaci!D20,8,1)="d"),VLOOKUP( $B134, T_Aop[], 6, 1),A1)</f>
        <v xml:space="preserve">    6. Ostale dugoročne finansijske obaveze po amortizovanoj vrijednosti</v>
      </c>
      <c r="E134" s="621"/>
      <c r="F134" s="621"/>
      <c r="G134" s="621"/>
      <c r="H134" s="622"/>
      <c r="I134" s="121">
        <f>IF(AND([0]!Godina=2024,MID(Osnovni_podaci!D20,3,1)="e",Osnovni_podaci!L24=5,Osnovni_podaci!G24=0,MID(Osnovni_podaci!D20,3,1)="e",MID(Osnovni_podaci!D20,8,1)="d"),VLOOKUP( $B134, T_Aop[], 4, 1),A1)</f>
        <v>143</v>
      </c>
      <c r="J134" s="157"/>
      <c r="K134" s="686"/>
      <c r="L134" s="687"/>
      <c r="M134" s="587"/>
      <c r="N134" s="582"/>
      <c r="P134" s="44"/>
    </row>
    <row r="135" spans="2:16" x14ac:dyDescent="0.2">
      <c r="B135" s="15">
        <v>111</v>
      </c>
      <c r="C135" s="358" t="str">
        <f>IF(AND([0]!Godina=2024,MID(Osnovni_podaci!D20,3,1)="e",Osnovni_podaci!L24=5,Osnovni_podaci!G24=0,MID(Osnovni_podaci!D20,3,1)="e",MID(Osnovni_podaci!D20,8,1)="d"),VLOOKUP( $B135, T_Aop[], 5, 1),A1)</f>
        <v>dio 409, 410, 419</v>
      </c>
      <c r="D135" s="617" t="str">
        <f>IF(AND([0]!Godina=2024,MID(Osnovni_podaci!D20,3,1)="e",Osnovni_podaci!L24=5,Osnovni_podaci!G24=0,MID(Osnovni_podaci!D20,3,1)="e",MID(Osnovni_podaci!D20,8,1)="d"),VLOOKUP( $B135, T_Aop[], 6, 1),A1)</f>
        <v xml:space="preserve">    7. Ostale dugoročne obaveze, uključujući razgraničenja</v>
      </c>
      <c r="E135" s="618"/>
      <c r="F135" s="618"/>
      <c r="G135" s="618"/>
      <c r="H135" s="619"/>
      <c r="I135" s="122">
        <f>IF(AND([0]!Godina=2024,MID(Osnovni_podaci!D20,3,1)="e",Osnovni_podaci!L24=5,Osnovni_podaci!G24=0,MID(Osnovni_podaci!D20,3,1)="e",MID(Osnovni_podaci!D20,8,1)="d"),VLOOKUP( $B135, T_Aop[], 4, 1),A1)</f>
        <v>144</v>
      </c>
      <c r="J135" s="155"/>
      <c r="K135" s="688"/>
      <c r="L135" s="689"/>
      <c r="M135" s="585">
        <v>136184</v>
      </c>
      <c r="N135" s="575">
        <v>136184</v>
      </c>
      <c r="P135" s="44"/>
    </row>
    <row r="136" spans="2:16" x14ac:dyDescent="0.2">
      <c r="B136" s="15">
        <v>112</v>
      </c>
      <c r="C136" s="357">
        <f>IF(AND([0]!Godina=2024,MID(Osnovni_podaci!D20,3,1)="e",Osnovni_podaci!L24=5,Osnovni_podaci!G24=0,MID(Osnovni_podaci!D20,3,1)="e",MID(Osnovni_podaci!D20,8,1)="d"),VLOOKUP( $B136, T_Aop[], 5, 1),A1)</f>
        <v>408</v>
      </c>
      <c r="D136" s="642" t="str">
        <f>IF(AND([0]!Godina=2024,MID(Osnovni_podaci!D20,3,1)="e",Osnovni_podaci!L24=5,Osnovni_podaci!G24=0,MID(Osnovni_podaci!D20,3,1)="e",MID(Osnovni_podaci!D20,8,1)="d"),VLOOKUP( $B136, T_Aop[], 6, 1),A1)</f>
        <v xml:space="preserve">  III RAZGRANIČENI PRIHODI I PRIMLJENE DONACIJE</v>
      </c>
      <c r="E136" s="643"/>
      <c r="F136" s="643"/>
      <c r="G136" s="643"/>
      <c r="H136" s="644"/>
      <c r="I136" s="170">
        <f>IF(AND([0]!Godina=2024,MID(Osnovni_podaci!D20,3,1)="e",Osnovni_podaci!L24=5,Osnovni_podaci!G24=0,MID(Osnovni_podaci!D20,3,1)="e",MID(Osnovni_podaci!D20,8,1)="d"),VLOOKUP( $B136, T_Aop[], 4, 1),A1)</f>
        <v>145</v>
      </c>
      <c r="J136" s="157"/>
      <c r="K136" s="686"/>
      <c r="L136" s="687"/>
      <c r="M136" s="588">
        <v>13108074</v>
      </c>
      <c r="N136" s="200">
        <v>13275030</v>
      </c>
      <c r="P136" s="44"/>
    </row>
    <row r="137" spans="2:16" x14ac:dyDescent="0.2">
      <c r="B137" s="15">
        <v>113</v>
      </c>
      <c r="C137" s="358">
        <f>IF(AND([0]!Godina=2024,MID(Osnovni_podaci!D20,3,1)="e",Osnovni_podaci!L24=5,Osnovni_podaci!G24=0,MID(Osnovni_podaci!D20,3,1)="e",MID(Osnovni_podaci!D20,8,1)="d"),VLOOKUP( $B137, T_Aop[], 5, 1),A1)</f>
        <v>407</v>
      </c>
      <c r="D137" s="623" t="str">
        <f>IF(AND([0]!Godina=2024,MID(Osnovni_podaci!D20,3,1)="e",Osnovni_podaci!L24=5,Osnovni_podaci!G24=0,MID(Osnovni_podaci!D20,3,1)="e",MID(Osnovni_podaci!D20,8,1)="d"),VLOOKUP( $B137, T_Aop[], 6, 1),A1)</f>
        <v xml:space="preserve">  V. ODLOŽENE PORESKE OBAVEZE </v>
      </c>
      <c r="E137" s="624"/>
      <c r="F137" s="624"/>
      <c r="G137" s="624"/>
      <c r="H137" s="625"/>
      <c r="I137" s="171">
        <f>IF(AND([0]!Godina=2024,MID(Osnovni_podaci!D20,3,1)="e",Osnovni_podaci!L24=5,Osnovni_podaci!G24=0,MID(Osnovni_podaci!D20,3,1)="e",MID(Osnovni_podaci!D20,8,1)="d"),VLOOKUP( $B137, T_Aop[], 4, 1),A1)</f>
        <v>146</v>
      </c>
      <c r="J137" s="155"/>
      <c r="K137" s="688"/>
      <c r="L137" s="689"/>
      <c r="M137" s="586">
        <f>5142892+265993</f>
        <v>5408885</v>
      </c>
      <c r="N137" s="198">
        <f>5142892+265993</f>
        <v>5408885</v>
      </c>
      <c r="P137" s="44"/>
    </row>
    <row r="138" spans="2:16" ht="23.25" customHeight="1" x14ac:dyDescent="0.2">
      <c r="B138" s="15">
        <v>114</v>
      </c>
      <c r="C138" s="357" t="str">
        <f>IF(AND([0]!Godina=2024,MID(Osnovni_podaci!D20,3,1)="e",Osnovni_podaci!L24=5,Osnovni_podaci!G24=0,MID(Osnovni_podaci!D20,3,1)="e",MID(Osnovni_podaci!D20,8,1)="d"),VLOOKUP( $B138, T_Aop[], 5, 1),A1)</f>
        <v>42 do 49</v>
      </c>
      <c r="D138" s="642" t="str">
        <f>IF(AND([0]!Godina=2024,MID(Osnovni_podaci!D20,3,1)="e",Osnovni_podaci!L24=5,Osnovni_podaci!G24=0,MID(Osnovni_podaci!D20,3,1)="e",MID(Osnovni_podaci!D20,8,1)="d"),VLOOKUP( $B138, T_Aop[], 6, 1),A1)</f>
        <v xml:space="preserve">   G. KRATKOROČNE OBAVEZE I KRATKOROČNA REZERVISANJA(148 + 155 + 161 + 162 + 163 + 164 + 165 + 166 + 167 + 168)</v>
      </c>
      <c r="E138" s="643"/>
      <c r="F138" s="643"/>
      <c r="G138" s="643"/>
      <c r="H138" s="644"/>
      <c r="I138" s="170">
        <f>IF(AND([0]!Godina=2024,MID(Osnovni_podaci!D20,3,1)="e",Osnovni_podaci!L24=5,Osnovni_podaci!G24=0,MID(Osnovni_podaci!D20,3,1)="e",MID(Osnovni_podaci!D20,8,1)="d"),VLOOKUP( $B138, T_Aop[], 4, 1),A1)</f>
        <v>147</v>
      </c>
      <c r="J138" s="157"/>
      <c r="K138" s="686"/>
      <c r="L138" s="687"/>
      <c r="M138" s="48">
        <f>SUBTOTAL( 9, M139:M159)</f>
        <v>9663776</v>
      </c>
      <c r="N138" s="49">
        <f>SUBTOTAL( 9, N139:N159)</f>
        <v>15281338</v>
      </c>
      <c r="P138" s="44"/>
    </row>
    <row r="139" spans="2:16" x14ac:dyDescent="0.2">
      <c r="B139" s="15">
        <v>115</v>
      </c>
      <c r="C139" s="358">
        <f>IF(AND([0]!Godina=2024,MID(Osnovni_podaci!D20,3,1)="e",Osnovni_podaci!L24=5,Osnovni_podaci!G24=0,MID(Osnovni_podaci!D20,3,1)="e",MID(Osnovni_podaci!D20,8,1)="d"),VLOOKUP( $B139, T_Aop[], 5, 1),A1)</f>
        <v>42</v>
      </c>
      <c r="D139" s="617" t="str">
        <f>IF(AND([0]!Godina=2024,MID(Osnovni_podaci!D20,3,1)="e",Osnovni_podaci!L24=5,Osnovni_podaci!G24=0,MID(Osnovni_podaci!D20,3,1)="e",MID(Osnovni_podaci!D20,8,1)="d"),VLOOKUP( $B139, T_Aop[], 6, 1),A1)</f>
        <v xml:space="preserve">    1. Kratkoročne finansijske obaveze (149 do 154)</v>
      </c>
      <c r="E139" s="618"/>
      <c r="F139" s="618"/>
      <c r="G139" s="618"/>
      <c r="H139" s="619"/>
      <c r="I139" s="122">
        <f>IF(AND([0]!Godina=2024,MID(Osnovni_podaci!D20,3,1)="e",Osnovni_podaci!L24=5,Osnovni_podaci!G24=0,MID(Osnovni_podaci!D20,3,1)="e",MID(Osnovni_podaci!D20,8,1)="d"),VLOOKUP( $B139, T_Aop[], 4, 1),A1)</f>
        <v>148</v>
      </c>
      <c r="J139" s="155"/>
      <c r="K139" s="688"/>
      <c r="L139" s="689"/>
      <c r="M139" s="50">
        <f>SUBTOTAL( 9, M140:M145)</f>
        <v>1816994</v>
      </c>
      <c r="N139" s="51">
        <f>SUBTOTAL( 9, N140:N145)</f>
        <v>4439180</v>
      </c>
      <c r="P139" s="44"/>
    </row>
    <row r="140" spans="2:16" x14ac:dyDescent="0.2">
      <c r="B140" s="15">
        <v>116</v>
      </c>
      <c r="C140" s="357">
        <f>IF(AND([0]!Godina=2024,MID(Osnovni_podaci!D20,3,1)="e",Osnovni_podaci!L24=5,Osnovni_podaci!G24=0,MID(Osnovni_podaci!D20,3,1)="e",MID(Osnovni_podaci!D20,8,1)="d"),VLOOKUP( $B140, T_Aop[], 5, 1),A1)</f>
        <v>420</v>
      </c>
      <c r="D140" s="620" t="str">
        <f>IF(AND([0]!Godina=2024,MID(Osnovni_podaci!D20,3,1)="e",Osnovni_podaci!L24=5,Osnovni_podaci!G24=0,MID(Osnovni_podaci!D20,3,1)="e",MID(Osnovni_podaci!D20,8,1)="d"),VLOOKUP( $B140, T_Aop[], 6, 1),A1)</f>
        <v xml:space="preserve">      1.1. Kratkoročne finansijske obaveze prema povezanim pravnim licima</v>
      </c>
      <c r="E140" s="621"/>
      <c r="F140" s="621"/>
      <c r="G140" s="621"/>
      <c r="H140" s="622"/>
      <c r="I140" s="121">
        <f>IF(AND([0]!Godina=2024,MID(Osnovni_podaci!D20,3,1)="e",Osnovni_podaci!L24=5,Osnovni_podaci!G24=0,MID(Osnovni_podaci!D20,3,1)="e",MID(Osnovni_podaci!D20,8,1)="d"),VLOOKUP( $B140, T_Aop[], 4, 1),A1)</f>
        <v>149</v>
      </c>
      <c r="J140" s="157"/>
      <c r="K140" s="686"/>
      <c r="L140" s="687"/>
      <c r="M140" s="587">
        <v>352934</v>
      </c>
      <c r="N140" s="582">
        <v>986025</v>
      </c>
      <c r="P140" s="44"/>
    </row>
    <row r="141" spans="2:16" x14ac:dyDescent="0.2">
      <c r="B141" s="15">
        <v>117</v>
      </c>
      <c r="C141" s="358" t="str">
        <f>IF(AND([0]!Godina=2024,MID(Osnovni_podaci!D20,3,1)="e",Osnovni_podaci!L24=5,Osnovni_podaci!G24=0,MID(Osnovni_podaci!D20,3,1)="e",MID(Osnovni_podaci!D20,8,1)="d"),VLOOKUP( $B141, T_Aop[], 5, 1),A1)</f>
        <v>421 do 424</v>
      </c>
      <c r="D141" s="617" t="str">
        <f>IF(AND([0]!Godina=2024,MID(Osnovni_podaci!D20,3,1)="e",Osnovni_podaci!L24=5,Osnovni_podaci!G24=0,MID(Osnovni_podaci!D20,3,1)="e",MID(Osnovni_podaci!D20,8,1)="d"),VLOOKUP( $B141, T_Aop[], 6, 1),A1)</f>
        <v xml:space="preserve">      1.2. Kratkoročni krediti i obaveze po emitovanim kratkoročnim hartijama od vrijednosti</v>
      </c>
      <c r="E141" s="618"/>
      <c r="F141" s="618"/>
      <c r="G141" s="618"/>
      <c r="H141" s="619"/>
      <c r="I141" s="122">
        <f>IF(AND([0]!Godina=2024,MID(Osnovni_podaci!D20,3,1)="e",Osnovni_podaci!L24=5,Osnovni_podaci!G24=0,MID(Osnovni_podaci!D20,3,1)="e",MID(Osnovni_podaci!D20,8,1)="d"),VLOOKUP( $B141, T_Aop[], 4, 1),A1)</f>
        <v>150</v>
      </c>
      <c r="J141" s="155"/>
      <c r="K141" s="688"/>
      <c r="L141" s="689"/>
      <c r="M141" s="585">
        <f>1008265+446720</f>
        <v>1454985</v>
      </c>
      <c r="N141" s="575">
        <f>1824351+1596228</f>
        <v>3420579</v>
      </c>
      <c r="P141" s="44"/>
    </row>
    <row r="142" spans="2:16" x14ac:dyDescent="0.2">
      <c r="B142" s="15">
        <v>118</v>
      </c>
      <c r="C142" s="357" t="str">
        <f>IF(AND([0]!Godina=2024,MID(Osnovni_podaci!D20,3,1)="e",Osnovni_podaci!L24=5,Osnovni_podaci!G24=0,MID(Osnovni_podaci!D20,3,1)="e",MID(Osnovni_podaci!D20,8,1)="d"),VLOOKUP( $B142, T_Aop[], 5, 1),A1)</f>
        <v>425 i 426</v>
      </c>
      <c r="D142" s="620" t="str">
        <f>IF(AND([0]!Godina=2024,MID(Osnovni_podaci!D20,3,1)="e",Osnovni_podaci!L24=5,Osnovni_podaci!G24=0,MID(Osnovni_podaci!D20,3,1)="e",MID(Osnovni_podaci!D20,8,1)="d"),VLOOKUP( $B142, T_Aop[], 6, 1),A1)</f>
        <v xml:space="preserve">      1.3. Kratkoročne obaveze po lizingu</v>
      </c>
      <c r="E142" s="621"/>
      <c r="F142" s="621"/>
      <c r="G142" s="621"/>
      <c r="H142" s="622"/>
      <c r="I142" s="121">
        <f>IF(AND([0]!Godina=2024,MID(Osnovni_podaci!D20,3,1)="e",Osnovni_podaci!L24=5,Osnovni_podaci!G24=0,MID(Osnovni_podaci!D20,3,1)="e",MID(Osnovni_podaci!D20,8,1)="d"),VLOOKUP( $B142, T_Aop[], 4, 1),A1)</f>
        <v>151</v>
      </c>
      <c r="J142" s="157"/>
      <c r="K142" s="686"/>
      <c r="L142" s="687"/>
      <c r="M142" s="587">
        <v>9075</v>
      </c>
      <c r="N142" s="582">
        <f>32576+27710-27710</f>
        <v>32576</v>
      </c>
      <c r="P142" s="44"/>
    </row>
    <row r="143" spans="2:16" x14ac:dyDescent="0.2">
      <c r="B143" s="15">
        <v>119</v>
      </c>
      <c r="C143" s="358">
        <f>IF(AND([0]!Godina=2024,MID(Osnovni_podaci!D20,3,1)="e",Osnovni_podaci!L24=5,Osnovni_podaci!G24=0,MID(Osnovni_podaci!D20,3,1)="e",MID(Osnovni_podaci!D20,8,1)="d"),VLOOKUP( $B143, T_Aop[], 5, 1),A1)</f>
        <v>427</v>
      </c>
      <c r="D143" s="617" t="str">
        <f>IF(AND([0]!Godina=2024,MID(Osnovni_podaci!D20,3,1)="e",Osnovni_podaci!L24=5,Osnovni_podaci!G24=0,MID(Osnovni_podaci!D20,3,1)="e",MID(Osnovni_podaci!D20,8,1)="d"),VLOOKUP( $B143, T_Aop[], 6, 1),A1)</f>
        <v xml:space="preserve">      1.4. Kratkoročne obaveze po fer vrijednosti kroz bilans uspjeha</v>
      </c>
      <c r="E143" s="618"/>
      <c r="F143" s="618"/>
      <c r="G143" s="618"/>
      <c r="H143" s="619"/>
      <c r="I143" s="122">
        <f>IF(AND([0]!Godina=2024,MID(Osnovni_podaci!D20,3,1)="e",Osnovni_podaci!L24=5,Osnovni_podaci!G24=0,MID(Osnovni_podaci!D20,3,1)="e",MID(Osnovni_podaci!D20,8,1)="d"),VLOOKUP( $B143, T_Aop[], 4, 1),A1)</f>
        <v>152</v>
      </c>
      <c r="J143" s="155"/>
      <c r="K143" s="688"/>
      <c r="L143" s="689"/>
      <c r="M143" s="585"/>
      <c r="N143" s="195"/>
      <c r="P143" s="44"/>
    </row>
    <row r="144" spans="2:16" x14ac:dyDescent="0.2">
      <c r="B144" s="15">
        <v>120</v>
      </c>
      <c r="C144" s="357">
        <f>IF(AND([0]!Godina=2024,MID(Osnovni_podaci!D20,3,1)="e",Osnovni_podaci!L24=5,Osnovni_podaci!G24=0,MID(Osnovni_podaci!D20,3,1)="e",MID(Osnovni_podaci!D20,8,1)="d"),VLOOKUP( $B144, T_Aop[], 5, 1),A1)</f>
        <v>428</v>
      </c>
      <c r="D144" s="620" t="str">
        <f>IF(AND([0]!Godina=2024,MID(Osnovni_podaci!D20,3,1)="e",Osnovni_podaci!L24=5,Osnovni_podaci!G24=0,MID(Osnovni_podaci!D20,3,1)="e",MID(Osnovni_podaci!D20,8,1)="d"),VLOOKUP( $B144, T_Aop[], 6, 1),A1)</f>
        <v xml:space="preserve">      1.5. Derivatne finansijske obaveze</v>
      </c>
      <c r="E144" s="621"/>
      <c r="F144" s="621"/>
      <c r="G144" s="621"/>
      <c r="H144" s="622"/>
      <c r="I144" s="121">
        <f>IF(AND([0]!Godina=2024,MID(Osnovni_podaci!D20,3,1)="e",Osnovni_podaci!L24=5,Osnovni_podaci!G24=0,MID(Osnovni_podaci!D20,3,1)="e",MID(Osnovni_podaci!D20,8,1)="d"),VLOOKUP( $B144, T_Aop[], 4, 1),A1)</f>
        <v>153</v>
      </c>
      <c r="J144" s="157"/>
      <c r="K144" s="686"/>
      <c r="L144" s="687"/>
      <c r="M144" s="587"/>
      <c r="N144" s="197"/>
      <c r="P144" s="44"/>
    </row>
    <row r="145" spans="2:16" x14ac:dyDescent="0.2">
      <c r="B145" s="15">
        <v>121</v>
      </c>
      <c r="C145" s="358">
        <f>IF(AND([0]!Godina=2024,MID(Osnovni_podaci!D20,3,1)="e",Osnovni_podaci!L24=5,Osnovni_podaci!G24=0,MID(Osnovni_podaci!D20,3,1)="e",MID(Osnovni_podaci!D20,8,1)="d"),VLOOKUP( $B145, T_Aop[], 5, 1),A1)</f>
        <v>429</v>
      </c>
      <c r="D145" s="617" t="str">
        <f>IF(AND([0]!Godina=2024,MID(Osnovni_podaci!D20,3,1)="e",Osnovni_podaci!L24=5,Osnovni_podaci!G24=0,MID(Osnovni_podaci!D20,3,1)="e",MID(Osnovni_podaci!D20,8,1)="d"),VLOOKUP( $B145, T_Aop[], 6, 1),A1)</f>
        <v xml:space="preserve">      1.6. Ostale obaveze po amortizovanoj vrijednosti</v>
      </c>
      <c r="E145" s="618"/>
      <c r="F145" s="618"/>
      <c r="G145" s="618"/>
      <c r="H145" s="619"/>
      <c r="I145" s="122">
        <f>IF(AND([0]!Godina=2024,MID(Osnovni_podaci!D20,3,1)="e",Osnovni_podaci!L24=5,Osnovni_podaci!G24=0,MID(Osnovni_podaci!D20,3,1)="e",MID(Osnovni_podaci!D20,8,1)="d"),VLOOKUP( $B145, T_Aop[], 4, 1),A1)</f>
        <v>154</v>
      </c>
      <c r="J145" s="155"/>
      <c r="K145" s="688"/>
      <c r="L145" s="689"/>
      <c r="M145" s="585"/>
      <c r="N145" s="195"/>
      <c r="P145" s="44"/>
    </row>
    <row r="146" spans="2:16" x14ac:dyDescent="0.2">
      <c r="B146" s="15">
        <v>122</v>
      </c>
      <c r="C146" s="357">
        <f>IF(AND([0]!Godina=2024,MID(Osnovni_podaci!D20,3,1)="e",Osnovni_podaci!L24=5,Osnovni_podaci!G24=0,MID(Osnovni_podaci!D20,3,1)="e",MID(Osnovni_podaci!D20,8,1)="d"),VLOOKUP( $B146, T_Aop[], 5, 1),A1)</f>
        <v>43</v>
      </c>
      <c r="D146" s="620" t="str">
        <f>IF(AND([0]!Godina=2024,MID(Osnovni_podaci!D20,3,1)="e",Osnovni_podaci!L24=5,Osnovni_podaci!G24=0,MID(Osnovni_podaci!D20,3,1)="e",MID(Osnovni_podaci!D20,8,1)="d"),VLOOKUP( $B146, T_Aop[], 6, 1),A1)</f>
        <v xml:space="preserve">    2. Obaveze iz poslovanja (156 do 160)</v>
      </c>
      <c r="E146" s="621"/>
      <c r="F146" s="621"/>
      <c r="G146" s="621"/>
      <c r="H146" s="622"/>
      <c r="I146" s="121">
        <f>IF(AND([0]!Godina=2024,MID(Osnovni_podaci!D20,3,1)="e",Osnovni_podaci!L24=5,Osnovni_podaci!G24=0,MID(Osnovni_podaci!D20,3,1)="e",MID(Osnovni_podaci!D20,8,1)="d"),VLOOKUP( $B146, T_Aop[], 4, 1),A1)</f>
        <v>155</v>
      </c>
      <c r="J146" s="157"/>
      <c r="K146" s="686"/>
      <c r="L146" s="687"/>
      <c r="M146" s="441">
        <f>SUBTOTAL( 9, M147:M151)</f>
        <v>5048490</v>
      </c>
      <c r="N146" s="446">
        <f>SUBTOTAL( 9, N147:N151)</f>
        <v>7504110</v>
      </c>
      <c r="P146" s="44"/>
    </row>
    <row r="147" spans="2:16" x14ac:dyDescent="0.2">
      <c r="B147" s="15">
        <v>123</v>
      </c>
      <c r="C147" s="358" t="str">
        <f>IF(AND([0]!Godina=2024,MID(Osnovni_podaci!D20,3,1)="e",Osnovni_podaci!L24=5,Osnovni_podaci!G24=0,MID(Osnovni_podaci!D20,3,1)="e",MID(Osnovni_podaci!D20,8,1)="d"),VLOOKUP( $B147, T_Aop[], 5, 1),A1)</f>
        <v>430 i 436</v>
      </c>
      <c r="D147" s="617" t="str">
        <f>IF(AND([0]!Godina=2024,MID(Osnovni_podaci!D20,3,1)="e",Osnovni_podaci!L24=5,Osnovni_podaci!G24=0,MID(Osnovni_podaci!D20,3,1)="e",MID(Osnovni_podaci!D20,8,1)="d"),VLOOKUP( $B147, T_Aop[], 6, 1),A1)</f>
        <v xml:space="preserve">      2.1. Primljeni avansi, depoziti i kaucije</v>
      </c>
      <c r="E147" s="618"/>
      <c r="F147" s="618"/>
      <c r="G147" s="618"/>
      <c r="H147" s="619"/>
      <c r="I147" s="122">
        <f>IF(AND([0]!Godina=2024,MID(Osnovni_podaci!D20,3,1)="e",Osnovni_podaci!L24=5,Osnovni_podaci!G24=0,MID(Osnovni_podaci!D20,3,1)="e",MID(Osnovni_podaci!D20,8,1)="d"),VLOOKUP( $B147, T_Aop[], 4, 1),A1)</f>
        <v>156</v>
      </c>
      <c r="J147" s="155"/>
      <c r="K147" s="688"/>
      <c r="L147" s="689"/>
      <c r="M147" s="585">
        <v>423060</v>
      </c>
      <c r="N147" s="575">
        <v>411034</v>
      </c>
      <c r="P147" s="44"/>
    </row>
    <row r="148" spans="2:16" x14ac:dyDescent="0.2">
      <c r="B148" s="15">
        <v>124</v>
      </c>
      <c r="C148" s="357">
        <f>IF(AND([0]!Godina=2024,MID(Osnovni_podaci!D20,3,1)="e",Osnovni_podaci!L24=5,Osnovni_podaci!G24=0,MID(Osnovni_podaci!D20,3,1)="e",MID(Osnovni_podaci!D20,8,1)="d"),VLOOKUP( $B148, T_Aop[], 5, 1),A1)</f>
        <v>431</v>
      </c>
      <c r="D148" s="620" t="str">
        <f>IF(AND([0]!Godina=2024,MID(Osnovni_podaci!D20,3,1)="e",Osnovni_podaci!L24=5,Osnovni_podaci!G24=0,MID(Osnovni_podaci!D20,3,1)="e",MID(Osnovni_podaci!D20,8,1)="d"),VLOOKUP( $B148, T_Aop[], 6, 1),A1)</f>
        <v xml:space="preserve">      2.2. Dobavljači – povezana pravna lica</v>
      </c>
      <c r="E148" s="621"/>
      <c r="F148" s="621"/>
      <c r="G148" s="621"/>
      <c r="H148" s="622"/>
      <c r="I148" s="121">
        <f>IF(AND([0]!Godina=2024,MID(Osnovni_podaci!D20,3,1)="e",Osnovni_podaci!L24=5,Osnovni_podaci!G24=0,MID(Osnovni_podaci!D20,3,1)="e",MID(Osnovni_podaci!D20,8,1)="d"),VLOOKUP( $B148, T_Aop[], 4, 1),A1)</f>
        <v>157</v>
      </c>
      <c r="J148" s="157"/>
      <c r="K148" s="686"/>
      <c r="L148" s="687"/>
      <c r="M148" s="587">
        <f>2673844+67895-11700</f>
        <v>2730039</v>
      </c>
      <c r="N148" s="582">
        <f>5707670+56529-2925</f>
        <v>5761274</v>
      </c>
      <c r="P148" s="44"/>
    </row>
    <row r="149" spans="2:16" x14ac:dyDescent="0.2">
      <c r="B149" s="15">
        <v>125</v>
      </c>
      <c r="C149" s="358" t="str">
        <f>IF(AND([0]!Godina=2024,MID(Osnovni_podaci!D20,3,1)="e",Osnovni_podaci!L24=5,Osnovni_podaci!G24=0,MID(Osnovni_podaci!D20,3,1)="e",MID(Osnovni_podaci!D20,8,1)="d"),VLOOKUP( $B149, T_Aop[], 5, 1),A1)</f>
        <v>432, 433, 434</v>
      </c>
      <c r="D149" s="617" t="str">
        <f>IF(AND([0]!Godina=2024,MID(Osnovni_podaci!D20,3,1)="e",Osnovni_podaci!L24=5,Osnovni_podaci!G24=0,MID(Osnovni_podaci!D20,3,1)="e",MID(Osnovni_podaci!D20,8,1)="d"),VLOOKUP( $B149, T_Aop[], 6, 1),A1)</f>
        <v xml:space="preserve">      2.3. Dobavljači u zemlji</v>
      </c>
      <c r="E149" s="618"/>
      <c r="F149" s="618"/>
      <c r="G149" s="618"/>
      <c r="H149" s="619"/>
      <c r="I149" s="122">
        <f>IF(AND([0]!Godina=2024,MID(Osnovni_podaci!D20,3,1)="e",Osnovni_podaci!L24=5,Osnovni_podaci!G24=0,MID(Osnovni_podaci!D20,3,1)="e",MID(Osnovni_podaci!D20,8,1)="d"),VLOOKUP( $B149, T_Aop[], 4, 1),A1)</f>
        <v>158</v>
      </c>
      <c r="J149" s="155"/>
      <c r="K149" s="688"/>
      <c r="L149" s="689"/>
      <c r="M149" s="585">
        <f>1651233+131964</f>
        <v>1783197</v>
      </c>
      <c r="N149" s="575">
        <f>1254957+8640</f>
        <v>1263597</v>
      </c>
      <c r="P149" s="44"/>
    </row>
    <row r="150" spans="2:16" x14ac:dyDescent="0.2">
      <c r="B150" s="15">
        <v>126</v>
      </c>
      <c r="C150" s="357">
        <f>IF(AND([0]!Godina=2024,MID(Osnovni_podaci!D20,3,1)="e",Osnovni_podaci!L24=5,Osnovni_podaci!G24=0,MID(Osnovni_podaci!D20,3,1)="e",MID(Osnovni_podaci!D20,8,1)="d"),VLOOKUP( $B150, T_Aop[], 5, 1),A1)</f>
        <v>435</v>
      </c>
      <c r="D150" s="620" t="str">
        <f>IF(AND([0]!Godina=2024,MID(Osnovni_podaci!D20,3,1)="e",Osnovni_podaci!L24=5,Osnovni_podaci!G24=0,MID(Osnovni_podaci!D20,3,1)="e",MID(Osnovni_podaci!D20,8,1)="d"),VLOOKUP( $B150, T_Aop[], 6, 1),A1)</f>
        <v xml:space="preserve">      2.4. Dobavljači iz inostranstva</v>
      </c>
      <c r="E150" s="621"/>
      <c r="F150" s="621"/>
      <c r="G150" s="621"/>
      <c r="H150" s="622"/>
      <c r="I150" s="121">
        <f>IF(AND([0]!Godina=2024,MID(Osnovni_podaci!D20,3,1)="e",Osnovni_podaci!L24=5,Osnovni_podaci!G24=0,MID(Osnovni_podaci!D20,3,1)="e",MID(Osnovni_podaci!D20,8,1)="d"),VLOOKUP( $B150, T_Aop[], 4, 1),A1)</f>
        <v>159</v>
      </c>
      <c r="J150" s="157"/>
      <c r="K150" s="686"/>
      <c r="L150" s="687"/>
      <c r="M150" s="587">
        <f>22823+89371</f>
        <v>112194</v>
      </c>
      <c r="N150" s="582">
        <v>68205</v>
      </c>
      <c r="P150" s="44"/>
    </row>
    <row r="151" spans="2:16" x14ac:dyDescent="0.2">
      <c r="B151" s="15">
        <v>127</v>
      </c>
      <c r="C151" s="358" t="str">
        <f>IF(AND([0]!Godina=2024,MID(Osnovni_podaci!D20,3,1)="e",Osnovni_podaci!L24=5,Osnovni_podaci!G24=0,MID(Osnovni_podaci!D20,3,1)="e",MID(Osnovni_podaci!D20,8,1)="d"),VLOOKUP( $B151, T_Aop[], 5, 1),A1)</f>
        <v>437, 439</v>
      </c>
      <c r="D151" s="617" t="str">
        <f>IF(AND([0]!Godina=2024,MID(Osnovni_podaci!D20,3,1)="e",Osnovni_podaci!L24=5,Osnovni_podaci!G24=0,MID(Osnovni_podaci!D20,3,1)="e",MID(Osnovni_podaci!D20,8,1)="d"),VLOOKUP( $B151, T_Aop[], 6, 1),A1)</f>
        <v xml:space="preserve">      2.5. Ostale obaveze iz poslovanja</v>
      </c>
      <c r="E151" s="618"/>
      <c r="F151" s="618"/>
      <c r="G151" s="618"/>
      <c r="H151" s="619"/>
      <c r="I151" s="122">
        <f>IF(AND([0]!Godina=2024,MID(Osnovni_podaci!D20,3,1)="e",Osnovni_podaci!L24=5,Osnovni_podaci!G24=0,MID(Osnovni_podaci!D20,3,1)="e",MID(Osnovni_podaci!D20,8,1)="d"),VLOOKUP( $B151, T_Aop[], 4, 1),A1)</f>
        <v>160</v>
      </c>
      <c r="J151" s="155"/>
      <c r="K151" s="688"/>
      <c r="L151" s="689"/>
      <c r="M151" s="585"/>
      <c r="N151" s="575"/>
      <c r="P151" s="44"/>
    </row>
    <row r="152" spans="2:16" x14ac:dyDescent="0.2">
      <c r="B152" s="15">
        <v>128</v>
      </c>
      <c r="C152" s="357" t="str">
        <f>IF(AND([0]!Godina=2024,MID(Osnovni_podaci!D20,3,1)="e",Osnovni_podaci!L24=5,Osnovni_podaci!G24=0,MID(Osnovni_podaci!D20,3,1)="e",MID(Osnovni_podaci!D20,8,1)="d"),VLOOKUP( $B152, T_Aop[], 5, 1),A1)</f>
        <v>440 do 449</v>
      </c>
      <c r="D152" s="620" t="str">
        <f>IF(AND([0]!Godina=2024,MID(Osnovni_podaci!D20,3,1)="e",Osnovni_podaci!L24=5,Osnovni_podaci!G24=0,MID(Osnovni_podaci!D20,3,1)="e",MID(Osnovni_podaci!D20,8,1)="d"),VLOOKUP( $B152, T_Aop[], 6, 1),A1)</f>
        <v xml:space="preserve">    3. Obaveze iz specifičnih poslova</v>
      </c>
      <c r="E152" s="621"/>
      <c r="F152" s="621"/>
      <c r="G152" s="621"/>
      <c r="H152" s="622"/>
      <c r="I152" s="121">
        <f>IF(AND([0]!Godina=2024,MID(Osnovni_podaci!D20,3,1)="e",Osnovni_podaci!L24=5,Osnovni_podaci!G24=0,MID(Osnovni_podaci!D20,3,1)="e",MID(Osnovni_podaci!D20,8,1)="d"),VLOOKUP( $B152, T_Aop[], 4, 1),A1)</f>
        <v>161</v>
      </c>
      <c r="J152" s="157"/>
      <c r="K152" s="686"/>
      <c r="L152" s="687"/>
      <c r="M152" s="587">
        <v>425605</v>
      </c>
      <c r="N152" s="582">
        <f>420319+4654</f>
        <v>424973</v>
      </c>
      <c r="P152" s="44"/>
    </row>
    <row r="153" spans="2:16" x14ac:dyDescent="0.2">
      <c r="B153" s="15">
        <v>129</v>
      </c>
      <c r="C153" s="358" t="str">
        <f>IF(AND([0]!Godina=2024,MID(Osnovni_podaci!D20,3,1)="e",Osnovni_podaci!L24=5,Osnovni_podaci!G24=0,MID(Osnovni_podaci!D20,3,1)="e",MID(Osnovni_podaci!D20,8,1)="d"),VLOOKUP( $B153, T_Aop[], 5, 1),A1)</f>
        <v>450 do 458</v>
      </c>
      <c r="D153" s="617" t="str">
        <f>IF(AND([0]!Godina=2024,MID(Osnovni_podaci!D20,3,1)="e",Osnovni_podaci!L24=5,Osnovni_podaci!G24=0,MID(Osnovni_podaci!D20,3,1)="e",MID(Osnovni_podaci!D20,8,1)="d"),VLOOKUP( $B153, T_Aop[], 6, 1),A1)</f>
        <v xml:space="preserve">    4. Obaveze za plate i naknade plata</v>
      </c>
      <c r="E153" s="618"/>
      <c r="F153" s="618"/>
      <c r="G153" s="618"/>
      <c r="H153" s="619"/>
      <c r="I153" s="122">
        <f>IF(AND([0]!Godina=2024,MID(Osnovni_podaci!D20,3,1)="e",Osnovni_podaci!L24=5,Osnovni_podaci!G24=0,MID(Osnovni_podaci!D20,3,1)="e",MID(Osnovni_podaci!D20,8,1)="d"),VLOOKUP( $B153, T_Aop[], 4, 1),A1)</f>
        <v>162</v>
      </c>
      <c r="J153" s="155"/>
      <c r="K153" s="688"/>
      <c r="L153" s="689"/>
      <c r="M153" s="585">
        <f>1064692+139733</f>
        <v>1204425</v>
      </c>
      <c r="N153" s="575">
        <f>993516+123628</f>
        <v>1117144</v>
      </c>
      <c r="P153" s="44"/>
    </row>
    <row r="154" spans="2:16" x14ac:dyDescent="0.2">
      <c r="B154" s="15">
        <v>130</v>
      </c>
      <c r="C154" s="357" t="str">
        <f>IF(AND([0]!Godina=2024,MID(Osnovni_podaci!D20,3,1)="e",Osnovni_podaci!L24=5,Osnovni_podaci!G24=0,MID(Osnovni_podaci!D20,3,1)="e",MID(Osnovni_podaci!D20,8,1)="d"),VLOOKUP( $B154, T_Aop[], 5, 1),A1)</f>
        <v>460 do 469</v>
      </c>
      <c r="D154" s="620" t="str">
        <f>IF(AND([0]!Godina=2024,MID(Osnovni_podaci!D20,3,1)="e",Osnovni_podaci!L24=5,Osnovni_podaci!G24=0,MID(Osnovni_podaci!D20,3,1)="e",MID(Osnovni_podaci!D20,8,1)="d"),VLOOKUP( $B154, T_Aop[], 6, 1),A1)</f>
        <v xml:space="preserve">    5. Ostale obaveze</v>
      </c>
      <c r="E154" s="621"/>
      <c r="F154" s="621"/>
      <c r="G154" s="621"/>
      <c r="H154" s="622"/>
      <c r="I154" s="121">
        <f>IF(AND([0]!Godina=2024,MID(Osnovni_podaci!D20,3,1)="e",Osnovni_podaci!L24=5,Osnovni_podaci!G24=0,MID(Osnovni_podaci!D20,3,1)="e",MID(Osnovni_podaci!D20,8,1)="d"),VLOOKUP( $B154, T_Aop[], 4, 1),A1)</f>
        <v>163</v>
      </c>
      <c r="J154" s="157"/>
      <c r="K154" s="686"/>
      <c r="L154" s="687"/>
      <c r="M154" s="587">
        <f>19525+2688473-2614625</f>
        <v>93373</v>
      </c>
      <c r="N154" s="582">
        <f>21085+194107-114625</f>
        <v>100567</v>
      </c>
      <c r="P154" s="44"/>
    </row>
    <row r="155" spans="2:16" x14ac:dyDescent="0.2">
      <c r="B155" s="15">
        <v>131</v>
      </c>
      <c r="C155" s="358" t="str">
        <f>IF(AND([0]!Godina=2024,MID(Osnovni_podaci!D20,3,1)="e",Osnovni_podaci!L24=5,Osnovni_podaci!G24=0,MID(Osnovni_podaci!D20,3,1)="e",MID(Osnovni_podaci!D20,8,1)="d"),VLOOKUP( $B155, T_Aop[], 5, 1),A1)</f>
        <v>470 do 479</v>
      </c>
      <c r="D155" s="617" t="str">
        <f>IF(AND([0]!Godina=2024,MID(Osnovni_podaci!D20,3,1)="e",Osnovni_podaci!L24=5,Osnovni_podaci!G24=0,MID(Osnovni_podaci!D20,3,1)="e",MID(Osnovni_podaci!D20,8,1)="d"),VLOOKUP( $B155, T_Aop[], 6, 1),A1)</f>
        <v xml:space="preserve">    6. Porez na dodatu vrijednost</v>
      </c>
      <c r="E155" s="618"/>
      <c r="F155" s="618"/>
      <c r="G155" s="618"/>
      <c r="H155" s="619"/>
      <c r="I155" s="122">
        <f>IF(AND([0]!Godina=2024,MID(Osnovni_podaci!D20,3,1)="e",Osnovni_podaci!L24=5,Osnovni_podaci!G24=0,MID(Osnovni_podaci!D20,3,1)="e",MID(Osnovni_podaci!D20,8,1)="d"),VLOOKUP( $B155, T_Aop[], 4, 1),A1)</f>
        <v>164</v>
      </c>
      <c r="J155" s="155"/>
      <c r="K155" s="688"/>
      <c r="L155" s="689"/>
      <c r="M155" s="585">
        <f>88204+4031</f>
        <v>92235</v>
      </c>
      <c r="N155" s="575">
        <f>204805+87012</f>
        <v>291817</v>
      </c>
      <c r="P155" s="44"/>
    </row>
    <row r="156" spans="2:16" ht="12.75" customHeight="1" x14ac:dyDescent="0.2">
      <c r="B156" s="15">
        <v>132</v>
      </c>
      <c r="C156" s="357" t="str">
        <f>IF(AND([0]!Godina=2024,MID(Osnovni_podaci!D20,3,1)="e",Osnovni_podaci!L24=5,Osnovni_podaci!G24=0,MID(Osnovni_podaci!D20,3,1)="e",MID(Osnovni_podaci!D20,8,1)="d"),VLOOKUP( $B156, T_Aop[], 5, 1),A1)</f>
        <v>48, osim 481</v>
      </c>
      <c r="D156" s="620" t="str">
        <f>IF(AND([0]!Godina=2024,MID(Osnovni_podaci!D20,3,1)="e",Osnovni_podaci!L24=5,Osnovni_podaci!G24=0,MID(Osnovni_podaci!D20,3,1)="e",MID(Osnovni_podaci!D20,8,1)="d"),VLOOKUP( $B156, T_Aop[], 6, 1),A1)</f>
        <v xml:space="preserve">    7. Obaveze za ostale poreze, doprinose i druge dažbine</v>
      </c>
      <c r="E156" s="621"/>
      <c r="F156" s="621"/>
      <c r="G156" s="621"/>
      <c r="H156" s="622"/>
      <c r="I156" s="121">
        <f>IF(AND([0]!Godina=2024,MID(Osnovni_podaci!D20,3,1)="e",Osnovni_podaci!L24=5,Osnovni_podaci!G24=0,MID(Osnovni_podaci!D20,3,1)="e",MID(Osnovni_podaci!D20,8,1)="d"),VLOOKUP( $B156, T_Aop[], 4, 1),A1)</f>
        <v>165</v>
      </c>
      <c r="J156" s="157"/>
      <c r="K156" s="686"/>
      <c r="L156" s="687"/>
      <c r="M156" s="587">
        <f>14792+9620</f>
        <v>24412</v>
      </c>
      <c r="N156" s="582">
        <f>49966+40124</f>
        <v>90090</v>
      </c>
      <c r="P156" s="44"/>
    </row>
    <row r="157" spans="2:16" ht="10.5" customHeight="1" x14ac:dyDescent="0.2">
      <c r="B157" s="15">
        <v>133</v>
      </c>
      <c r="C157" s="358">
        <f>IF(AND([0]!Godina=2024,MID(Osnovni_podaci!D20,3,1)="e",Osnovni_podaci!L24=5,Osnovni_podaci!G24=0,MID(Osnovni_podaci!D20,3,1)="e",MID(Osnovni_podaci!D20,8,1)="d"),VLOOKUP( $B157, T_Aop[], 5, 1),A1)</f>
        <v>481</v>
      </c>
      <c r="D157" s="617" t="str">
        <f>IF(AND([0]!Godina=2024,MID(Osnovni_podaci!D20,3,1)="e",Osnovni_podaci!L24=5,Osnovni_podaci!G24=0,MID(Osnovni_podaci!D20,3,1)="e",MID(Osnovni_podaci!D20,8,1)="d"),VLOOKUP( $B157, T_Aop[], 6, 1),A1)</f>
        <v xml:space="preserve">    8. Obaveze za porez na dobit</v>
      </c>
      <c r="E157" s="618"/>
      <c r="F157" s="618"/>
      <c r="G157" s="618"/>
      <c r="H157" s="619"/>
      <c r="I157" s="122">
        <f>IF(AND([0]!Godina=2024,MID(Osnovni_podaci!D20,3,1)="e",Osnovni_podaci!L24=5,Osnovni_podaci!G24=0,MID(Osnovni_podaci!D20,3,1)="e",MID(Osnovni_podaci!D20,8,1)="d"),VLOOKUP( $B157, T_Aop[], 4, 1),A1)</f>
        <v>166</v>
      </c>
      <c r="J157" s="155"/>
      <c r="K157" s="688"/>
      <c r="L157" s="689"/>
      <c r="M157" s="585"/>
      <c r="N157" s="575">
        <f>151948+148168</f>
        <v>300116</v>
      </c>
      <c r="P157" s="44"/>
    </row>
    <row r="158" spans="2:16" ht="12.75" customHeight="1" x14ac:dyDescent="0.2">
      <c r="B158" s="15">
        <v>134</v>
      </c>
      <c r="C158" s="357" t="str">
        <f>IF(AND([0]!Godina=2024,MID(Osnovni_podaci!D20,3,1)="e",Osnovni_podaci!L24=5,Osnovni_podaci!G24=0,MID(Osnovni_podaci!D20,3,1)="e",MID(Osnovni_podaci!D20,8,1)="d"),VLOOKUP( $B158, T_Aop[], 5, 1),A1)</f>
        <v>49, osim 496</v>
      </c>
      <c r="D158" s="620" t="str">
        <f>IF(AND([0]!Godina=2024,MID(Osnovni_podaci!D20,3,1)="e",Osnovni_podaci!L24=5,Osnovni_podaci!G24=0,MID(Osnovni_podaci!D20,3,1)="e",MID(Osnovni_podaci!D20,8,1)="d"),VLOOKUP( $B158, T_Aop[], 6, 1),A1)</f>
        <v xml:space="preserve">    9. Kratkoročna razgraničenja</v>
      </c>
      <c r="E158" s="621"/>
      <c r="F158" s="621"/>
      <c r="G158" s="621"/>
      <c r="H158" s="622"/>
      <c r="I158" s="121">
        <f>IF(AND([0]!Godina=2024,MID(Osnovni_podaci!D20,3,1)="e",Osnovni_podaci!L24=5,Osnovni_podaci!G24=0,MID(Osnovni_podaci!D20,3,1)="e",MID(Osnovni_podaci!D20,8,1)="d"),VLOOKUP( $B158, T_Aop[], 4, 1),A1)</f>
        <v>167</v>
      </c>
      <c r="J158" s="157"/>
      <c r="K158" s="686"/>
      <c r="L158" s="687"/>
      <c r="M158" s="587">
        <v>958242</v>
      </c>
      <c r="N158" s="582">
        <f>998891+14450</f>
        <v>1013341</v>
      </c>
      <c r="P158" s="44"/>
    </row>
    <row r="159" spans="2:16" ht="12.75" customHeight="1" x14ac:dyDescent="0.2">
      <c r="B159" s="15">
        <v>135</v>
      </c>
      <c r="C159" s="358">
        <f>VLOOKUP( $B159, T_Aop[], 5, 1)</f>
        <v>496</v>
      </c>
      <c r="D159" s="617" t="str">
        <f>IF(AND([0]!Godina=2024,MID(Osnovni_podaci!D20,3,1)="e",Osnovni_podaci!L24=5,Osnovni_podaci!G24=0,MID(Osnovni_podaci!D20,3,1)="e",MID(Osnovni_podaci!D20,8,1)="d"),VLOOKUP( $B159, T_Aop[], 6, 1),A1)</f>
        <v xml:space="preserve">    10. Kratkoročna rezervisanja</v>
      </c>
      <c r="E159" s="618"/>
      <c r="F159" s="618"/>
      <c r="G159" s="618"/>
      <c r="H159" s="619"/>
      <c r="I159" s="122">
        <f>IF(AND([0]!Godina=2024,MID(Osnovni_podaci!D20,3,1)="e",Osnovni_podaci!L24=5,Osnovni_podaci!G24=0,MID(Osnovni_podaci!D20,3,1)="e",MID(Osnovni_podaci!D20,8,1)="d"),VLOOKUP( $B159, T_Aop[], 4, 1),A1)</f>
        <v>168</v>
      </c>
      <c r="J159" s="155"/>
      <c r="K159" s="688"/>
      <c r="L159" s="689"/>
      <c r="M159" s="585"/>
      <c r="N159" s="575"/>
    </row>
    <row r="160" spans="2:16" ht="6" customHeight="1" x14ac:dyDescent="0.2">
      <c r="B160" s="15">
        <v>136</v>
      </c>
      <c r="C160" s="357"/>
      <c r="D160" s="620" t="str">
        <f>IF(AND([0]!Godina=2024,MID(Osnovni_podaci!D20,3,1)="e",Osnovni_podaci!L24=5,Osnovni_podaci!G24=0,MID(Osnovni_podaci!D20,3,1)="e",MID(Osnovni_podaci!D20,8,1)="d"),VLOOKUP( $B160, T_Aop[], 6, 1),A1)</f>
        <v/>
      </c>
      <c r="E160" s="621"/>
      <c r="F160" s="621"/>
      <c r="G160" s="621"/>
      <c r="H160" s="622"/>
      <c r="I160" s="170">
        <f>IF(AND([0]!Godina=2024,MID(Osnovni_podaci!D20,3,1)="e",Osnovni_podaci!L24=5,Osnovni_podaci!G24=0,MID(Osnovni_podaci!D20,3,1)="e",MID(Osnovni_podaci!D20,8,1)="d"),VLOOKUP( $B160, T_Aop[], 4, 1),A1)</f>
        <v>0</v>
      </c>
      <c r="J160" s="157"/>
      <c r="K160" s="686"/>
      <c r="L160" s="687"/>
      <c r="M160" s="196"/>
      <c r="N160" s="197"/>
    </row>
    <row r="161" spans="2:20" ht="12.75" customHeight="1" x14ac:dyDescent="0.2">
      <c r="B161" s="15">
        <v>137</v>
      </c>
      <c r="C161" s="358"/>
      <c r="D161" s="623" t="str">
        <f>IF(AND([0]!Godina=2024,MID(Osnovni_podaci!D20,3,1)="e",Osnovni_podaci!L24=5,Osnovni_podaci!G24=0,MID(Osnovni_podaci!D20,3,1)="e",MID(Osnovni_podaci!D20,8,1)="d"),VLOOKUP( $B161, T_Aop[], 6, 1),A1)</f>
        <v xml:space="preserve">  D. BILANSNA PASIVA (101 + 132 + 146 + 147)</v>
      </c>
      <c r="E161" s="624"/>
      <c r="F161" s="624"/>
      <c r="G161" s="624"/>
      <c r="H161" s="625"/>
      <c r="I161" s="171">
        <f>IF(AND([0]!Godina=2024,MID(Osnovni_podaci!D20,3,1)="e",Osnovni_podaci!L24=5,Osnovni_podaci!G24=0,MID(Osnovni_podaci!D20,3,1)="e",MID(Osnovni_podaci!D20,8,1)="d"),VLOOKUP( $B161, T_Aop[], 4, 1),A1)</f>
        <v>169</v>
      </c>
      <c r="J161" s="155"/>
      <c r="K161" s="688"/>
      <c r="L161" s="689"/>
      <c r="M161" s="387">
        <f>SUBTOTAL( 9, M93:M100, M106:M109,M104, M110:M112,M113,M115:M118,M122:M159) - SUBTOTAL( 9, M114, M101:M103, M105,  M119:M121)</f>
        <v>158964752</v>
      </c>
      <c r="N161" s="398">
        <f>SUBTOTAL( 9, N93:N100, N106:N109,N104, N110:N112,N113,N115:N118,N122:N159) - SUBTOTAL( 9, N114, N101:N103, N105,  N119:N121)</f>
        <v>160027015</v>
      </c>
    </row>
    <row r="162" spans="2:20" ht="9.75" customHeight="1" x14ac:dyDescent="0.2">
      <c r="B162" s="15">
        <v>138</v>
      </c>
      <c r="C162" s="363" t="str">
        <f>VLOOKUP( $B162, T_Aop[], 5, 1)</f>
        <v>890 do 898</v>
      </c>
      <c r="D162" s="626" t="str">
        <f>IF(AND([0]!Godina=2024,MID(Osnovni_podaci!D20,3,1)="e",Osnovni_podaci!L24=5,Osnovni_podaci!G24=0,MID(Osnovni_podaci!D20,3,1)="e",MID(Osnovni_podaci!D20,8,1)="d"),VLOOKUP( $B162, T_Aop[], 6, 1),A1)</f>
        <v xml:space="preserve">  Đ. VANBILANSNA PASIVA</v>
      </c>
      <c r="E162" s="627"/>
      <c r="F162" s="627"/>
      <c r="G162" s="627"/>
      <c r="H162" s="628"/>
      <c r="I162" s="173">
        <f>IF(AND([0]!Godina=2024,MID(Osnovni_podaci!D20,3,1)="e",Osnovni_podaci!L24=5,Osnovni_podaci!G24=0,MID(Osnovni_podaci!D20,3,1)="e",MID(Osnovni_podaci!D20,8,1)="d"),VLOOKUP( $B162, T_Aop[], 4, 1),A1)</f>
        <v>170</v>
      </c>
      <c r="J162" s="507"/>
      <c r="K162" s="690"/>
      <c r="L162" s="691"/>
      <c r="M162" s="434">
        <f>28922698+15396573</f>
        <v>44319271</v>
      </c>
      <c r="N162" s="435">
        <f>29002149+15391085</f>
        <v>44393234</v>
      </c>
    </row>
    <row r="163" spans="2:20" ht="9.75" customHeight="1" x14ac:dyDescent="0.2"/>
    <row r="164" spans="2:20" ht="3" hidden="1" customHeight="1" x14ac:dyDescent="0.2"/>
    <row r="165" spans="2:20" ht="0.75" hidden="1" customHeight="1" x14ac:dyDescent="0.2">
      <c r="C165" s="180"/>
      <c r="D165" s="515"/>
      <c r="E165"/>
      <c r="F165" s="56"/>
    </row>
    <row r="166" spans="2:20" ht="25.5" customHeight="1" x14ac:dyDescent="0.2">
      <c r="C166" s="180" t="str">
        <f>Podnozje_U</f>
        <v>U:</v>
      </c>
      <c r="D166" s="418"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15" t="str">
        <f>Podatak_Lice_sa_licencom</f>
        <v>Slobodan Butulija</v>
      </c>
      <c r="G167" s="615"/>
      <c r="H167" s="8" t="str">
        <f>Podatak_Broj_Licence</f>
        <v>0029/24</v>
      </c>
      <c r="I167" s="78"/>
      <c r="L167" s="506" t="str">
        <f>Podatak_Direktor</f>
        <v>Aco Stanišić ma. ecc</v>
      </c>
      <c r="M167" s="506"/>
      <c r="N167" s="506"/>
      <c r="O167" s="14"/>
      <c r="P167" s="14"/>
      <c r="R167" s="14"/>
      <c r="S167" s="14"/>
      <c r="T167" s="29"/>
    </row>
    <row r="168" spans="2:20" ht="24" customHeight="1" x14ac:dyDescent="0.2">
      <c r="C168" s="180" t="str">
        <f>Podnozje_Dana</f>
        <v>Dana:</v>
      </c>
      <c r="D168" s="417" t="str">
        <f>Podatak_Dana</f>
        <v>31.10.2024.</v>
      </c>
      <c r="E168"/>
      <c r="F168" s="416"/>
      <c r="G168"/>
      <c r="H168" s="8"/>
      <c r="I168" s="8"/>
      <c r="J168" s="9"/>
      <c r="L168" s="517"/>
      <c r="M168" s="517"/>
      <c r="N168" s="516"/>
      <c r="O168" s="14"/>
      <c r="P168" s="14"/>
      <c r="Q168" s="14"/>
      <c r="R168" s="14"/>
      <c r="S168" s="14"/>
      <c r="T168" s="29"/>
    </row>
    <row r="169" spans="2:20" ht="18.75" customHeight="1" x14ac:dyDescent="0.2"/>
    <row r="170" spans="2:20" ht="14.25" customHeight="1" x14ac:dyDescent="0.2">
      <c r="C170" s="180"/>
      <c r="D170" s="515"/>
      <c r="E170"/>
      <c r="F170" s="56"/>
      <c r="G170" s="8"/>
      <c r="H170" s="8" t="e">
        <f ca="1">_xlfn.TEXTJOIN(" ",FALSE,Osnovni_podaci!D66,Osnovni_podaci!D68)</f>
        <v>#NAME?</v>
      </c>
      <c r="I170" s="37"/>
      <c r="J170" s="614"/>
      <c r="K170" s="614"/>
      <c r="L170" s="614"/>
    </row>
    <row r="171" spans="2:20" hidden="1" x14ac:dyDescent="0.2">
      <c r="D171" s="127"/>
      <c r="E171"/>
      <c r="F171" s="615"/>
      <c r="G171" s="615"/>
      <c r="H171" s="8"/>
      <c r="I171" s="78"/>
      <c r="J171" s="616" t="s">
        <v>472</v>
      </c>
      <c r="K171" s="616"/>
      <c r="L171" s="616"/>
    </row>
    <row r="172" spans="2:20" hidden="1" x14ac:dyDescent="0.2">
      <c r="C172" s="180"/>
      <c r="D172" s="417"/>
      <c r="E172"/>
      <c r="F172" s="416"/>
      <c r="G172"/>
      <c r="H172" s="8"/>
      <c r="I172" s="8"/>
      <c r="J172" s="9"/>
      <c r="K172" s="261"/>
      <c r="L172" s="26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SheetLayoutView="100" workbookViewId="0">
      <pane xSplit="16383" ySplit="4" topLeftCell="XFD142" activePane="bottomRight" state="frozen"/>
      <selection activeCell="S33" sqref="S33"/>
      <selection pane="topRight" activeCell="S33" sqref="S33"/>
      <selection pane="bottomLeft" activeCell="S33" sqref="S33"/>
      <selection pane="bottomRight" activeCell="K75" sqref="K75"/>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60" t="str">
        <f>Zaglavlje_Naziv_preduzeca</f>
        <v xml:space="preserve">Naziv privrednog društva, zadruge, drugog pravnog lica ili preduzetnika: </v>
      </c>
      <c r="D5" s="660"/>
      <c r="E5" s="660"/>
      <c r="K5" s="9"/>
      <c r="L5" s="391" t="str">
        <f>Podatak_MB</f>
        <v>01814788</v>
      </c>
    </row>
    <row r="6" spans="3:12" ht="14.25" customHeight="1" x14ac:dyDescent="0.2">
      <c r="C6" s="660"/>
      <c r="D6" s="660"/>
      <c r="E6" s="660"/>
      <c r="F6" s="9"/>
      <c r="K6" s="9"/>
      <c r="L6" s="420" t="str">
        <f>Zaglavlje_MB</f>
        <v>Matični broj</v>
      </c>
    </row>
    <row r="7" spans="3:12" ht="14.25" customHeight="1" x14ac:dyDescent="0.2">
      <c r="C7" s="672" t="str">
        <f>Podatak_Naziv_preduzeca</f>
        <v>Elektrodistribucija a.d. Pale</v>
      </c>
      <c r="D7" s="672"/>
      <c r="E7" s="672"/>
      <c r="F7" s="17"/>
      <c r="K7" s="9"/>
      <c r="L7" s="391" t="str">
        <f>Podatak_Sifra_djelatnosti</f>
        <v>35.13</v>
      </c>
    </row>
    <row r="8" spans="3:12" ht="12.75" customHeight="1" x14ac:dyDescent="0.2">
      <c r="C8" s="125" t="str">
        <f>Zaglavlje_Sjediste</f>
        <v>Sjedište:</v>
      </c>
      <c r="D8" s="684" t="str">
        <f>Podatak_Sjediste</f>
        <v>Pale</v>
      </c>
      <c r="E8" s="684"/>
      <c r="F8" s="17"/>
      <c r="K8" s="9"/>
      <c r="L8" s="420" t="str">
        <f>Zaglavlje_Sifra_djelatnosti</f>
        <v>Šifra djelatnosti</v>
      </c>
    </row>
    <row r="9" spans="3:12" ht="12.75" customHeight="1" x14ac:dyDescent="0.2">
      <c r="C9" s="671" t="str">
        <f>Zaglavlje_Ziro_racun</f>
        <v>Račun kod ovlašćene organizacije za platni promet:</v>
      </c>
      <c r="D9" s="671"/>
      <c r="E9" s="671"/>
      <c r="F9" s="243"/>
      <c r="K9" s="9"/>
      <c r="L9" s="391" t="str">
        <f>Podatak_JIB</f>
        <v>4400570050004</v>
      </c>
    </row>
    <row r="10" spans="3:12" ht="12.75" customHeight="1" x14ac:dyDescent="0.2">
      <c r="C10" s="673" t="str">
        <f>Podatak_Ziro_racun_1</f>
        <v>562-012-00002669-48</v>
      </c>
      <c r="D10" s="673"/>
      <c r="E10" s="673"/>
      <c r="F10" s="14"/>
      <c r="G10" s="13"/>
      <c r="H10" s="13"/>
      <c r="I10" s="13"/>
      <c r="J10" s="13"/>
      <c r="K10" s="720" t="str">
        <f>Zaglavlje_JIB</f>
        <v>JIB</v>
      </c>
      <c r="L10" s="720"/>
    </row>
    <row r="11" spans="3:12" ht="12.75" customHeight="1" x14ac:dyDescent="0.2">
      <c r="C11" s="673" t="str">
        <f>Podatak_Ziro_racun_2</f>
        <v>555-002-00004363-23</v>
      </c>
      <c r="D11" s="673"/>
      <c r="E11" s="673"/>
      <c r="F11" s="14"/>
      <c r="J11" s="244"/>
      <c r="K11" s="244"/>
    </row>
    <row r="12" spans="3:12" ht="12.75" customHeight="1" x14ac:dyDescent="0.2">
      <c r="C12" s="717" t="str">
        <f>Podatak_Ziro_racun_3</f>
        <v>567-491-10000002-86</v>
      </c>
      <c r="D12" s="717"/>
      <c r="E12" s="717"/>
      <c r="F12" s="14"/>
      <c r="J12" s="244"/>
      <c r="K12" s="244"/>
    </row>
    <row r="13" spans="3:12" ht="12.75" customHeight="1" x14ac:dyDescent="0.2">
      <c r="C13" s="717" t="str">
        <f>Podatak_Ziro_racun_4</f>
        <v/>
      </c>
      <c r="D13" s="717"/>
      <c r="E13" s="717"/>
      <c r="F13" s="18"/>
      <c r="G13" s="18"/>
      <c r="H13" s="18"/>
      <c r="I13" s="18"/>
      <c r="J13"/>
      <c r="K13"/>
    </row>
    <row r="14" spans="3:12" ht="12.75" customHeight="1" x14ac:dyDescent="0.2">
      <c r="C14" s="685" t="str">
        <f>IF( Id_Konsolidovani, Nazivi_bilansa_Konsolidovani_naziv &amp; LOWER( Nazivi_bilansa_BUa), Nazivi_bilansa_BUa)</f>
        <v>Konsolidovani bilans uspjeha</v>
      </c>
      <c r="D14" s="685"/>
      <c r="E14" s="685"/>
      <c r="F14" s="685"/>
      <c r="G14" s="685"/>
      <c r="H14" s="685"/>
      <c r="I14" s="685"/>
      <c r="J14" s="685"/>
      <c r="K14" s="685"/>
      <c r="L14" s="685"/>
    </row>
    <row r="15" spans="3:12" ht="12.75" customHeight="1" x14ac:dyDescent="0.2">
      <c r="C15" s="670" t="str">
        <f>Nazivi_bilansa_BUa1</f>
        <v>(Izvještaj o ukupnom rezultatu u periodu)</v>
      </c>
      <c r="D15" s="670"/>
      <c r="E15" s="670"/>
      <c r="F15" s="670"/>
      <c r="G15" s="670"/>
      <c r="H15" s="670"/>
      <c r="I15" s="670"/>
      <c r="J15" s="670"/>
      <c r="K15" s="670"/>
      <c r="L15" s="670"/>
    </row>
    <row r="16" spans="3:12" ht="12.75" customHeight="1" x14ac:dyDescent="0.2">
      <c r="C16" s="670" t="str">
        <f>Datumi_Datum_BU</f>
        <v>za period od 01.01. do 30.09.2024. godine</v>
      </c>
      <c r="D16" s="670"/>
      <c r="E16" s="670"/>
      <c r="F16" s="670"/>
      <c r="G16" s="670"/>
      <c r="H16" s="670"/>
      <c r="I16" s="670"/>
      <c r="J16" s="670"/>
      <c r="K16" s="670"/>
      <c r="L16" s="670"/>
    </row>
    <row r="17" spans="2:16" ht="12.75" customHeight="1" x14ac:dyDescent="0.2">
      <c r="C17" s="41"/>
      <c r="D17" s="41"/>
      <c r="E17" s="41"/>
      <c r="F17" s="41"/>
      <c r="G17" s="41"/>
      <c r="H17" s="41"/>
      <c r="I17" s="41"/>
      <c r="J17" s="41"/>
      <c r="L17" s="445" t="str">
        <f>Tabele_zaglavlje_Valuta</f>
        <v>- u konvertibilnim markama -</v>
      </c>
    </row>
    <row r="18" spans="2:16" ht="12.75" customHeight="1" x14ac:dyDescent="0.2">
      <c r="C18" s="721" t="str">
        <f>Tabele_zaglavlje_Grupa_racuna</f>
        <v>Grupa računa, račun</v>
      </c>
      <c r="D18" s="723" t="str">
        <f>Tabele_zaglavlje_Pozicija</f>
        <v>POZICIJA</v>
      </c>
      <c r="E18" s="724"/>
      <c r="F18" s="724"/>
      <c r="G18" s="724"/>
      <c r="H18" s="725"/>
      <c r="I18" s="695" t="str">
        <f>Tabele_zaglavlje_Oznaka_aop</f>
        <v>Oznaka za AOP</v>
      </c>
      <c r="J18" s="695" t="str">
        <f>Tabele_zaglavlje_Napomena_aop</f>
        <v>Napomena</v>
      </c>
      <c r="K18" s="697" t="str">
        <f>Tabele_zaglavlje_Iznos</f>
        <v>Iznos</v>
      </c>
      <c r="L18" s="698"/>
    </row>
    <row r="19" spans="2:16" ht="20.25" customHeight="1" x14ac:dyDescent="0.2">
      <c r="C19" s="722"/>
      <c r="D19" s="726"/>
      <c r="E19" s="727"/>
      <c r="F19" s="727"/>
      <c r="G19" s="727"/>
      <c r="H19" s="728"/>
      <c r="I19" s="696"/>
      <c r="J19" s="696"/>
      <c r="K19" s="42" t="str">
        <f>Tabele_zaglavlje_Tekuca_godina</f>
        <v>Tekuća godina</v>
      </c>
      <c r="L19" s="43" t="str">
        <f>Tabele_zaglavlje_Prethodna_godina</f>
        <v>Prethodna godina</v>
      </c>
      <c r="P19" s="134" t="s">
        <v>490</v>
      </c>
    </row>
    <row r="20" spans="2:16" ht="12.75" customHeight="1" x14ac:dyDescent="0.2">
      <c r="B20" s="44" t="s">
        <v>123</v>
      </c>
      <c r="C20" s="443">
        <v>1</v>
      </c>
      <c r="D20" s="729">
        <v>2</v>
      </c>
      <c r="E20" s="730"/>
      <c r="F20" s="730"/>
      <c r="G20" s="730"/>
      <c r="H20" s="731"/>
      <c r="I20" s="407">
        <v>3</v>
      </c>
      <c r="J20" s="407">
        <v>4</v>
      </c>
      <c r="K20" s="407">
        <v>5</v>
      </c>
      <c r="L20" s="408">
        <v>6</v>
      </c>
    </row>
    <row r="21" spans="2:16" ht="25.5" customHeight="1" x14ac:dyDescent="0.2">
      <c r="B21" s="15">
        <v>139</v>
      </c>
      <c r="C21" s="449">
        <f>VLOOKUP( $B21, T_Aop[], 5, 1)</f>
        <v>0</v>
      </c>
      <c r="D21" s="732" t="str">
        <f>VLOOKUP( $B21, T_Aop[], 6, 1)</f>
        <v xml:space="preserve">  A. POSLOVNI PRIHODI I RASHODI
I POSLOVNI PRIHODI 
(202 + 206 + 210 + 214 – 215 + 216 – 217 + 218)</v>
      </c>
      <c r="E21" s="733"/>
      <c r="F21" s="733"/>
      <c r="G21" s="733"/>
      <c r="H21" s="734"/>
      <c r="I21" s="499">
        <f>VLOOKUP( $B21, T_Aop[], 4, 1)</f>
        <v>201</v>
      </c>
      <c r="J21" s="494"/>
      <c r="K21" s="405">
        <f>IF(AND([0]!Godina=2024,MID(Osnovni_podaci!D20,3,1)="e",Osnovni_podaci!L24=5,Osnovni_podaci!G24=0,MID(Osnovni_podaci!D20,3,1)="e",MID(Osnovni_podaci!D20,8,1)="d"),SUBTOTAL(9,K22:K33,K34,K36,K38)-SUBTOTAL(9,K35,K37),A1)</f>
        <v>29597361</v>
      </c>
      <c r="L21" s="406">
        <f>IF(AND([0]!Godina=2024,MID(Osnovni_podaci!D20,3,1)="e",Osnovni_podaci!L24=5,Osnovni_podaci!G24=0,MID(Osnovni_podaci!D20,3,1)="e",MID(Osnovni_podaci!D20,8,1)="d"),SUBTOTAL(9,L22:L33,L34,L36,L38)-SUBTOTAL(9,L35,L37),A1)</f>
        <v>31841221</v>
      </c>
      <c r="N21" s="44"/>
      <c r="P21" s="183"/>
    </row>
    <row r="22" spans="2:16" ht="13.5" customHeight="1" x14ac:dyDescent="0.2">
      <c r="B22" s="15">
        <v>140</v>
      </c>
      <c r="C22" s="58">
        <f>VLOOKUP( $B22, T_Aop[], 5, 1)</f>
        <v>60</v>
      </c>
      <c r="D22" s="699" t="str">
        <f>VLOOKUP( $B22, T_Aop[], 6, 1)</f>
        <v xml:space="preserve">    1. Prihodi od prodaje robe (203 do 205)</v>
      </c>
      <c r="E22" s="700"/>
      <c r="F22" s="700"/>
      <c r="G22" s="700"/>
      <c r="H22" s="701"/>
      <c r="I22" s="59">
        <f>VLOOKUP( $B22, T_Aop[], 4, 1)</f>
        <v>202</v>
      </c>
      <c r="J22" s="452"/>
      <c r="K22" s="454">
        <f>IF(AND([0]!Godina=2024,MID(Osnovni_podaci!D20,3,1)="e",Osnovni_podaci!L24=5,Osnovni_podaci!G24=0,MID(Osnovni_podaci!D20,3,1)="e",MID(Osnovni_podaci!D20,8,1)="d"),SUBTOTAL( 9, K23:K25),A1)</f>
        <v>12233</v>
      </c>
      <c r="L22" s="455">
        <f>IF(AND([0]!Godina=2024,MID(Osnovni_podaci!D20,3,1)="e",Osnovni_podaci!L24=5,Osnovni_podaci!G24=0,MID(Osnovni_podaci!D20,3,1)="e",MID(Osnovni_podaci!D20,8,1)="d"),SUBTOTAL( 9, L23:L25),A1)</f>
        <v>32073</v>
      </c>
      <c r="N22" s="44"/>
      <c r="P22" s="183"/>
    </row>
    <row r="23" spans="2:16" ht="13.5" customHeight="1" x14ac:dyDescent="0.2">
      <c r="B23" s="15">
        <v>141</v>
      </c>
      <c r="C23" s="62" t="str">
        <f>VLOOKUP( $B23, T_Aop[], 5, 1)</f>
        <v>600, dio 605</v>
      </c>
      <c r="D23" s="702" t="str">
        <f>VLOOKUP( $B23, T_Aop[], 6, 1)</f>
        <v xml:space="preserve">      a) Prihodi od prodaje robe povezanim pravnim licima</v>
      </c>
      <c r="E23" s="703"/>
      <c r="F23" s="703"/>
      <c r="G23" s="703"/>
      <c r="H23" s="704"/>
      <c r="I23" s="63">
        <f>VLOOKUP( $B23, T_Aop[], 4, 1)</f>
        <v>203</v>
      </c>
      <c r="J23" s="450"/>
      <c r="K23" s="450"/>
      <c r="L23" s="451"/>
      <c r="N23" s="44"/>
      <c r="P23" s="183"/>
    </row>
    <row r="24" spans="2:16" ht="22.5" customHeight="1" x14ac:dyDescent="0.2">
      <c r="B24" s="15">
        <v>142</v>
      </c>
      <c r="C24" s="58" t="str">
        <f>VLOOKUP( $B24, T_Aop[], 5, 1)</f>
        <v>601, 602, 603,dio 605</v>
      </c>
      <c r="D24" s="699" t="str">
        <f>VLOOKUP( $B24, T_Aop[], 6, 1)</f>
        <v xml:space="preserve">      b) Prihodi od prodaje robe na domaćem tržištu</v>
      </c>
      <c r="E24" s="700"/>
      <c r="F24" s="700"/>
      <c r="G24" s="700"/>
      <c r="H24" s="701"/>
      <c r="I24" s="59">
        <f>VLOOKUP( $B24, T_Aop[], 4, 1)</f>
        <v>204</v>
      </c>
      <c r="J24" s="452"/>
      <c r="K24" s="452">
        <f>12233</f>
        <v>12233</v>
      </c>
      <c r="L24" s="453">
        <v>32073</v>
      </c>
      <c r="N24" s="44"/>
      <c r="P24" s="183"/>
    </row>
    <row r="25" spans="2:16" ht="13.5" customHeight="1" x14ac:dyDescent="0.2">
      <c r="B25" s="15">
        <v>143</v>
      </c>
      <c r="C25" s="62" t="str">
        <f>VLOOKUP( $B25, T_Aop[], 5, 1)</f>
        <v>604, dio 605</v>
      </c>
      <c r="D25" s="702" t="str">
        <f>VLOOKUP( $B25, T_Aop[], 6, 1)</f>
        <v xml:space="preserve">      c) Prihodi od prodaje robe na inostranom tržištu</v>
      </c>
      <c r="E25" s="703"/>
      <c r="F25" s="703"/>
      <c r="G25" s="703"/>
      <c r="H25" s="704"/>
      <c r="I25" s="63">
        <f>VLOOKUP( $B25, T_Aop[], 4, 1)</f>
        <v>205</v>
      </c>
      <c r="J25" s="450"/>
      <c r="K25" s="450"/>
      <c r="L25" s="451"/>
      <c r="N25" s="44"/>
      <c r="P25" s="183"/>
    </row>
    <row r="26" spans="2:16" ht="13.5" customHeight="1" x14ac:dyDescent="0.2">
      <c r="B26" s="15">
        <v>144</v>
      </c>
      <c r="C26" s="58" t="str">
        <f>VLOOKUP( $B26, T_Aop[], 5, 1)</f>
        <v>61</v>
      </c>
      <c r="D26" s="699" t="str">
        <f>VLOOKUP( $B26, T_Aop[], 6, 1)</f>
        <v xml:space="preserve">    2. Prihodi od prodaje proizvoda (207 do 209)</v>
      </c>
      <c r="E26" s="700"/>
      <c r="F26" s="700"/>
      <c r="G26" s="700"/>
      <c r="H26" s="701"/>
      <c r="I26" s="59">
        <f>VLOOKUP( $B26, T_Aop[], 4, 1)</f>
        <v>206</v>
      </c>
      <c r="J26" s="452"/>
      <c r="K26" s="454">
        <f>IF(AND([0]!Godina=2024,MID(Osnovni_podaci!D20,3,1)="e",Osnovni_podaci!L24=5,Osnovni_podaci!G24=0,MID(Osnovni_podaci!D20,3,1)="e",MID(Osnovni_podaci!D20,8,1)="d"),SUBTOTAL( 9, K27:K29),A1)</f>
        <v>3142249</v>
      </c>
      <c r="L26" s="455">
        <f>IF(AND([0]!Godina=2024,MID(Osnovni_podaci!D20,3,1)="e",Osnovni_podaci!L24=5,Osnovni_podaci!G24=0,MID(Osnovni_podaci!D20,3,1)="e",MID(Osnovni_podaci!D20,8,1)="d"),SUBTOTAL( 9, L27:L29),A1)</f>
        <v>5666765</v>
      </c>
      <c r="N26" s="44"/>
      <c r="P26" s="183"/>
    </row>
    <row r="27" spans="2:16" ht="13.5" customHeight="1" x14ac:dyDescent="0.2">
      <c r="B27" s="15">
        <v>145</v>
      </c>
      <c r="C27" s="62" t="str">
        <f>VLOOKUP( $B27, T_Aop[], 5, 1)</f>
        <v>610, dio 615</v>
      </c>
      <c r="D27" s="702" t="str">
        <f>VLOOKUP( $B27, T_Aop[], 6, 1)</f>
        <v xml:space="preserve">      a) Prihodi od prodaje proizvoda povezanim pravnim licima</v>
      </c>
      <c r="E27" s="703"/>
      <c r="F27" s="703"/>
      <c r="G27" s="703"/>
      <c r="H27" s="704"/>
      <c r="I27" s="63">
        <f>VLOOKUP( $B27, T_Aop[], 4, 1)</f>
        <v>207</v>
      </c>
      <c r="J27" s="450"/>
      <c r="K27" s="450">
        <v>3142249</v>
      </c>
      <c r="L27" s="451">
        <v>5666765</v>
      </c>
      <c r="N27" s="44"/>
      <c r="P27" s="183"/>
    </row>
    <row r="28" spans="2:16" ht="22.5" customHeight="1" x14ac:dyDescent="0.2">
      <c r="B28" s="15">
        <v>146</v>
      </c>
      <c r="C28" s="58" t="str">
        <f>VLOOKUP( $B28, T_Aop[], 5, 1)</f>
        <v>611, 612, 613, dio 615</v>
      </c>
      <c r="D28" s="699" t="str">
        <f>VLOOKUP( $B28, T_Aop[], 6, 1)</f>
        <v xml:space="preserve">      b) Prihodi od prodaje proizvoda na domaćem tržištu</v>
      </c>
      <c r="E28" s="700"/>
      <c r="F28" s="700"/>
      <c r="G28" s="700"/>
      <c r="H28" s="701"/>
      <c r="I28" s="59">
        <f>VLOOKUP( $B28, T_Aop[], 4, 1)</f>
        <v>208</v>
      </c>
      <c r="J28" s="452"/>
      <c r="K28" s="452"/>
      <c r="L28" s="453"/>
      <c r="N28" s="44"/>
      <c r="P28" s="183"/>
    </row>
    <row r="29" spans="2:16" ht="13.5" customHeight="1" x14ac:dyDescent="0.2">
      <c r="B29" s="15">
        <v>147</v>
      </c>
      <c r="C29" s="62" t="str">
        <f>VLOOKUP( $B29, T_Aop[], 5, 1)</f>
        <v>614, dio 615</v>
      </c>
      <c r="D29" s="702" t="str">
        <f>VLOOKUP( $B29, T_Aop[], 6, 1)</f>
        <v xml:space="preserve">      c) Prihodi od prodaje proizvoda na inostranom tržištu</v>
      </c>
      <c r="E29" s="703"/>
      <c r="F29" s="703"/>
      <c r="G29" s="703"/>
      <c r="H29" s="704"/>
      <c r="I29" s="63">
        <f>VLOOKUP( $B29, T_Aop[], 4, 1)</f>
        <v>209</v>
      </c>
      <c r="J29" s="450"/>
      <c r="K29" s="450"/>
      <c r="L29" s="451"/>
      <c r="N29" s="44"/>
      <c r="P29" s="183"/>
    </row>
    <row r="30" spans="2:16" ht="13.5" customHeight="1" x14ac:dyDescent="0.2">
      <c r="B30" s="15">
        <v>148</v>
      </c>
      <c r="C30" s="58" t="str">
        <f>VLOOKUP( $B30, T_Aop[], 5, 1)</f>
        <v>62</v>
      </c>
      <c r="D30" s="699" t="str">
        <f>VLOOKUP( $B30, T_Aop[], 6, 1)</f>
        <v xml:space="preserve">     3. Prihodi od pruženih usluga (211 do 213)</v>
      </c>
      <c r="E30" s="700"/>
      <c r="F30" s="700"/>
      <c r="G30" s="700"/>
      <c r="H30" s="701"/>
      <c r="I30" s="59">
        <f>VLOOKUP( $B30, T_Aop[], 4, 1)</f>
        <v>210</v>
      </c>
      <c r="J30" s="452"/>
      <c r="K30" s="153">
        <f>IF(AND([0]!Godina=2024,MID(Osnovni_podaci!D20,3,1)="e",Osnovni_podaci!L24=5,Osnovni_podaci!G24=0,MID(Osnovni_podaci!D20,3,1)="e",MID(Osnovni_podaci!D20,8,1)="d"),SUBTOTAL( 9, K31:K33),A1)</f>
        <v>24978663</v>
      </c>
      <c r="L30" s="477">
        <f>IF(AND([0]!Godina=2024,MID(Osnovni_podaci!D20,3,1)="e",Osnovni_podaci!L24=5,Osnovni_podaci!G24=0,MID(Osnovni_podaci!D20,3,1)="e",MID(Osnovni_podaci!D20,8,1)="d"),SUBTOTAL( 9, L31:L33),A1)</f>
        <v>24218843</v>
      </c>
      <c r="N30" s="44"/>
      <c r="P30" s="183"/>
    </row>
    <row r="31" spans="2:16" ht="13.5" customHeight="1" x14ac:dyDescent="0.2">
      <c r="B31" s="15">
        <v>149</v>
      </c>
      <c r="C31" s="62" t="str">
        <f>VLOOKUP( $B31, T_Aop[], 5, 1)</f>
        <v>620, dio 625</v>
      </c>
      <c r="D31" s="702" t="str">
        <f>VLOOKUP( $B31, T_Aop[], 6, 1)</f>
        <v xml:space="preserve">      a) Prihodi od pruženih usluga povezanim licima</v>
      </c>
      <c r="E31" s="703"/>
      <c r="F31" s="703"/>
      <c r="G31" s="703"/>
      <c r="H31" s="704"/>
      <c r="I31" s="63">
        <f>VLOOKUP( $B31, T_Aop[], 4, 1)</f>
        <v>211</v>
      </c>
      <c r="J31" s="450"/>
      <c r="K31" s="450">
        <v>23844357</v>
      </c>
      <c r="L31" s="451">
        <v>23333547</v>
      </c>
      <c r="N31" s="44"/>
      <c r="P31" s="183"/>
    </row>
    <row r="32" spans="2:16" ht="22.5" customHeight="1" x14ac:dyDescent="0.2">
      <c r="B32" s="15">
        <v>150</v>
      </c>
      <c r="C32" s="58" t="str">
        <f>VLOOKUP( $B32, T_Aop[], 5, 1)</f>
        <v>621, 622, 623, dio 625</v>
      </c>
      <c r="D32" s="699" t="str">
        <f>VLOOKUP( $B32, T_Aop[], 6, 1)</f>
        <v xml:space="preserve">      b) Prihodi od pruženih usluga na domaćem tržištu</v>
      </c>
      <c r="E32" s="700"/>
      <c r="F32" s="700"/>
      <c r="G32" s="700"/>
      <c r="H32" s="701"/>
      <c r="I32" s="59">
        <f>VLOOKUP( $B32, T_Aop[], 4, 1)</f>
        <v>212</v>
      </c>
      <c r="J32" s="452"/>
      <c r="K32" s="452">
        <v>1134306</v>
      </c>
      <c r="L32" s="453">
        <v>885296</v>
      </c>
      <c r="N32" s="44"/>
      <c r="P32" s="183"/>
    </row>
    <row r="33" spans="2:16" ht="13.5" customHeight="1" x14ac:dyDescent="0.2">
      <c r="B33" s="15">
        <v>151</v>
      </c>
      <c r="C33" s="62" t="str">
        <f>VLOOKUP( $B33, T_Aop[], 5, 1)</f>
        <v>624, dio 625</v>
      </c>
      <c r="D33" s="702" t="str">
        <f>VLOOKUP( $B33, T_Aop[], 6, 1)</f>
        <v xml:space="preserve">      c) Prihodi od pruženih usluga na inostranom tržištu</v>
      </c>
      <c r="E33" s="703"/>
      <c r="F33" s="703"/>
      <c r="G33" s="703"/>
      <c r="H33" s="704"/>
      <c r="I33" s="63">
        <f>VLOOKUP( $B33, T_Aop[], 4, 1)</f>
        <v>213</v>
      </c>
      <c r="J33" s="450"/>
      <c r="K33" s="450"/>
      <c r="L33" s="451"/>
      <c r="N33" s="44"/>
      <c r="P33" s="183"/>
    </row>
    <row r="34" spans="2:16" ht="13.5" customHeight="1" x14ac:dyDescent="0.2">
      <c r="B34" s="15">
        <v>152</v>
      </c>
      <c r="C34" s="58" t="str">
        <f>VLOOKUP( $B34, T_Aop[], 5, 1)</f>
        <v>630</v>
      </c>
      <c r="D34" s="699" t="str">
        <f>VLOOKUP( $B34, T_Aop[], 6, 1)</f>
        <v xml:space="preserve">    4. Povećanje vrijednosti zaliha učinaka</v>
      </c>
      <c r="E34" s="700"/>
      <c r="F34" s="700"/>
      <c r="G34" s="700"/>
      <c r="H34" s="701"/>
      <c r="I34" s="59">
        <f>VLOOKUP( $B34, T_Aop[], 4, 1)</f>
        <v>214</v>
      </c>
      <c r="J34" s="452"/>
      <c r="K34" s="452"/>
      <c r="L34" s="453"/>
      <c r="N34" s="44"/>
      <c r="P34" s="183"/>
    </row>
    <row r="35" spans="2:16" ht="13.5" customHeight="1" x14ac:dyDescent="0.2">
      <c r="B35" s="15">
        <v>153</v>
      </c>
      <c r="C35" s="62" t="str">
        <f>VLOOKUP( $B35, T_Aop[], 5, 1)</f>
        <v>631</v>
      </c>
      <c r="D35" s="702" t="str">
        <f>VLOOKUP( $B35, T_Aop[], 6, 1)</f>
        <v xml:space="preserve">    5. Smanjenje vrijednosti zaliha učinaka</v>
      </c>
      <c r="E35" s="703"/>
      <c r="F35" s="703"/>
      <c r="G35" s="703"/>
      <c r="H35" s="704"/>
      <c r="I35" s="63">
        <f>VLOOKUP( $B35, T_Aop[], 4, 1)</f>
        <v>215</v>
      </c>
      <c r="J35" s="450"/>
      <c r="K35" s="450"/>
      <c r="L35" s="451"/>
      <c r="N35" s="44"/>
      <c r="P35" s="183"/>
    </row>
    <row r="36" spans="2:16" ht="22.5" customHeight="1" x14ac:dyDescent="0.2">
      <c r="B36" s="15">
        <v>154</v>
      </c>
      <c r="C36" s="58" t="str">
        <f>VLOOKUP( $B36, T_Aop[], 5, 1)</f>
        <v>640 i 641</v>
      </c>
      <c r="D36" s="699" t="str">
        <f>VLOOKUP( $B36, T_Aop[], 6, 1)</f>
        <v xml:space="preserve">    6. Povećanje vrijednosti investicionih nekretnina i bioloških sredstava koja se ne amortizuju</v>
      </c>
      <c r="E36" s="700"/>
      <c r="F36" s="700"/>
      <c r="G36" s="700"/>
      <c r="H36" s="701"/>
      <c r="I36" s="59">
        <f>VLOOKUP( $B36, T_Aop[], 4, 1)</f>
        <v>216</v>
      </c>
      <c r="J36" s="452"/>
      <c r="K36" s="452"/>
      <c r="L36" s="453"/>
      <c r="N36" s="44"/>
      <c r="P36" s="183"/>
    </row>
    <row r="37" spans="2:16" ht="22.5" customHeight="1" x14ac:dyDescent="0.2">
      <c r="B37" s="15">
        <v>155</v>
      </c>
      <c r="C37" s="62" t="str">
        <f>VLOOKUP( $B37, T_Aop[], 5, 1)</f>
        <v>642 i 643</v>
      </c>
      <c r="D37" s="702" t="str">
        <f>VLOOKUP( $B37, T_Aop[], 6, 1)</f>
        <v xml:space="preserve">    7.  Smanjenje vrijednosti investicionih nekretnina i bioloških sredstava koja se ne amortizuju</v>
      </c>
      <c r="E37" s="703"/>
      <c r="F37" s="703"/>
      <c r="G37" s="703"/>
      <c r="H37" s="704"/>
      <c r="I37" s="63">
        <f>VLOOKUP( $B37, T_Aop[], 4, 1)</f>
        <v>217</v>
      </c>
      <c r="J37" s="450"/>
      <c r="K37" s="450"/>
      <c r="L37" s="451"/>
      <c r="N37" s="44"/>
      <c r="P37" s="183"/>
    </row>
    <row r="38" spans="2:16" ht="11.25" customHeight="1" x14ac:dyDescent="0.2">
      <c r="B38" s="15">
        <v>156</v>
      </c>
      <c r="C38" s="58" t="str">
        <f>VLOOKUP( $B38, T_Aop[], 5, 1)</f>
        <v>650 do 659</v>
      </c>
      <c r="D38" s="699" t="str">
        <f>VLOOKUP( $B38, T_Aop[], 6, 1)</f>
        <v xml:space="preserve">    8. Ostali poslovni prihodi</v>
      </c>
      <c r="E38" s="700"/>
      <c r="F38" s="700"/>
      <c r="G38" s="700"/>
      <c r="H38" s="701"/>
      <c r="I38" s="59">
        <f>VLOOKUP( $B38, T_Aop[], 4, 1)</f>
        <v>218</v>
      </c>
      <c r="J38" s="452"/>
      <c r="K38" s="452">
        <f>3986716-22500-2500000</f>
        <v>1464216</v>
      </c>
      <c r="L38" s="452">
        <v>1923540</v>
      </c>
      <c r="N38" s="44"/>
      <c r="P38" s="183"/>
    </row>
    <row r="39" spans="2:16" ht="12.75" customHeight="1" x14ac:dyDescent="0.2">
      <c r="B39" s="15">
        <v>157</v>
      </c>
      <c r="C39" s="62">
        <f>VLOOKUP( $B39, T_Aop[], 5, 1)</f>
        <v>0</v>
      </c>
      <c r="D39" s="708" t="str">
        <f>VLOOKUP( $B39, T_Aop[], 6, 1)</f>
        <v xml:space="preserve">  II  POSLOVNI RASHODI  (220 + 221 + 222 + 223 + 226 + 227 + 234 + 235 + 236)</v>
      </c>
      <c r="E39" s="709"/>
      <c r="F39" s="709"/>
      <c r="G39" s="709"/>
      <c r="H39" s="710"/>
      <c r="I39" s="179">
        <f>VLOOKUP( $B39, T_Aop[], 4, 1)</f>
        <v>219</v>
      </c>
      <c r="J39" s="450"/>
      <c r="K39" s="67">
        <f>IF(AND([0]!Godina=2024,MID(Osnovni_podaci!D20,3,1)="e",Osnovni_podaci!L24=5,Osnovni_podaci!G24=0,MID(Osnovni_podaci!D20,3,1)="e",MID(Osnovni_podaci!D20,8,1)="d"),SUBTOTAL( 9, K40:K56),A1)</f>
        <v>28841715</v>
      </c>
      <c r="L39" s="68">
        <f>IF(AND([0]!Godina=2024,MID(Osnovni_podaci!D20,3,1)="e",Osnovni_podaci!L24=5,Osnovni_podaci!G24=0,MID(Osnovni_podaci!D20,3,1)="e",MID(Osnovni_podaci!D20,8,1)="d"),SUBTOTAL( 9, L40:L56),A1)</f>
        <v>27532293</v>
      </c>
      <c r="N39" s="44"/>
      <c r="P39" s="183"/>
    </row>
    <row r="40" spans="2:16" ht="14.25" customHeight="1" x14ac:dyDescent="0.2">
      <c r="B40" s="15">
        <v>158</v>
      </c>
      <c r="C40" s="58" t="str">
        <f>VLOOKUP( $B40, T_Aop[], 5, 1)</f>
        <v>500 do 502</v>
      </c>
      <c r="D40" s="699" t="str">
        <f>VLOOKUP( $B40, T_Aop[], 6, 1)</f>
        <v xml:space="preserve">    1. Nabavna vrijednost prodate robe</v>
      </c>
      <c r="E40" s="700"/>
      <c r="F40" s="700"/>
      <c r="G40" s="700"/>
      <c r="H40" s="701"/>
      <c r="I40" s="59">
        <f>VLOOKUP( $B40, T_Aop[], 4, 1)</f>
        <v>220</v>
      </c>
      <c r="J40" s="452"/>
      <c r="K40" s="452">
        <f>6359394+23485</f>
        <v>6382879</v>
      </c>
      <c r="L40" s="453">
        <v>6758161</v>
      </c>
      <c r="N40" s="44"/>
      <c r="P40" s="183"/>
    </row>
    <row r="41" spans="2:16" ht="14.25" customHeight="1" x14ac:dyDescent="0.2">
      <c r="B41" s="15">
        <v>159</v>
      </c>
      <c r="C41" s="62" t="str">
        <f>VLOOKUP( $B41, T_Aop[], 5, 1)</f>
        <v>510 do 512</v>
      </c>
      <c r="D41" s="702" t="str">
        <f>VLOOKUP( $B41, T_Aop[], 6, 1)</f>
        <v xml:space="preserve">    2. Troškovi materijala</v>
      </c>
      <c r="E41" s="703"/>
      <c r="F41" s="703"/>
      <c r="G41" s="703"/>
      <c r="H41" s="704"/>
      <c r="I41" s="63">
        <f>VLOOKUP( $B41, T_Aop[], 4, 1)</f>
        <v>221</v>
      </c>
      <c r="J41" s="450"/>
      <c r="K41" s="450">
        <f>422234+12333</f>
        <v>434567</v>
      </c>
      <c r="L41" s="451">
        <v>493911</v>
      </c>
      <c r="N41" s="44"/>
      <c r="P41" s="183"/>
    </row>
    <row r="42" spans="2:16" ht="14.25" customHeight="1" x14ac:dyDescent="0.2">
      <c r="B42" s="15">
        <v>160</v>
      </c>
      <c r="C42" s="58" t="str">
        <f>VLOOKUP( $B42, T_Aop[], 5, 1)</f>
        <v>513</v>
      </c>
      <c r="D42" s="699" t="str">
        <f>VLOOKUP( $B42, T_Aop[], 6, 1)</f>
        <v xml:space="preserve">    3. Troškovi goriva i energije</v>
      </c>
      <c r="E42" s="700"/>
      <c r="F42" s="700"/>
      <c r="G42" s="700"/>
      <c r="H42" s="701"/>
      <c r="I42" s="59">
        <f>VLOOKUP( $B42, T_Aop[], 4, 1)</f>
        <v>222</v>
      </c>
      <c r="J42" s="452"/>
      <c r="K42" s="452">
        <f>447922+29604</f>
        <v>477526</v>
      </c>
      <c r="L42" s="453">
        <v>500772</v>
      </c>
      <c r="N42" s="44"/>
      <c r="P42" s="183"/>
    </row>
    <row r="43" spans="2:16" ht="22.5" customHeight="1" x14ac:dyDescent="0.2">
      <c r="B43" s="15">
        <v>161</v>
      </c>
      <c r="C43" s="62" t="str">
        <f>VLOOKUP( $B43, T_Aop[], 5, 1)</f>
        <v>52</v>
      </c>
      <c r="D43" s="702" t="str">
        <f>VLOOKUP( $B43, T_Aop[], 6, 1)</f>
        <v xml:space="preserve">    4. Troškovi plata, naknada plata i ostalih ličnih primanja (224 + 225)</v>
      </c>
      <c r="E43" s="703"/>
      <c r="F43" s="703"/>
      <c r="G43" s="703"/>
      <c r="H43" s="704"/>
      <c r="I43" s="63">
        <f>VLOOKUP( $B43, T_Aop[], 4, 1)</f>
        <v>223</v>
      </c>
      <c r="J43" s="450"/>
      <c r="K43" s="456">
        <f>IF(AND([0]!Godina=2024,MID(Osnovni_podaci!D20,3,1)="e",Osnovni_podaci!L24=5,Osnovni_podaci!G24=0,MID(Osnovni_podaci!D20,3,1)="e",MID(Osnovni_podaci!D20,8,1)="d"),SUBTOTAL( 9, K44:K45),A1)</f>
        <v>12051813</v>
      </c>
      <c r="L43" s="457">
        <f>IF(AND([0]!Godina=2024,MID(Osnovni_podaci!D20,3,1)="e",Osnovni_podaci!L24=5,Osnovni_podaci!G24=0,MID(Osnovni_podaci!D20,3,1)="e",MID(Osnovni_podaci!D20,8,1)="d"),SUBTOTAL( 9, L44:L45),A1)</f>
        <v>11025733</v>
      </c>
      <c r="N43" s="44"/>
      <c r="P43" s="183"/>
    </row>
    <row r="44" spans="2:16" ht="14.25" customHeight="1" x14ac:dyDescent="0.2">
      <c r="B44" s="15">
        <v>162</v>
      </c>
      <c r="C44" s="58" t="str">
        <f>VLOOKUP( $B44, T_Aop[], 5, 1)</f>
        <v>520 i 523</v>
      </c>
      <c r="D44" s="699" t="str">
        <f>VLOOKUP( $B44, T_Aop[], 6, 1)</f>
        <v xml:space="preserve">      a) Troškovi bruto plata i bruto naknada plata</v>
      </c>
      <c r="E44" s="700"/>
      <c r="F44" s="700"/>
      <c r="G44" s="700"/>
      <c r="H44" s="701"/>
      <c r="I44" s="59">
        <f>VLOOKUP( $B44, T_Aop[], 4, 1)</f>
        <v>224</v>
      </c>
      <c r="J44" s="452"/>
      <c r="K44" s="452">
        <f>8430567+1166021</f>
        <v>9596588</v>
      </c>
      <c r="L44" s="453">
        <v>8752331</v>
      </c>
      <c r="N44" s="44"/>
      <c r="P44" s="183"/>
    </row>
    <row r="45" spans="2:16" ht="14.25" customHeight="1" x14ac:dyDescent="0.2">
      <c r="B45" s="15">
        <v>163</v>
      </c>
      <c r="C45" s="62" t="str">
        <f>VLOOKUP( $B45, T_Aop[], 5, 1)</f>
        <v>524 do 529</v>
      </c>
      <c r="D45" s="702" t="str">
        <f>VLOOKUP( $B45, T_Aop[], 6, 1)</f>
        <v xml:space="preserve">      b) Troškovi ostalih ličnih primanja</v>
      </c>
      <c r="E45" s="703"/>
      <c r="F45" s="703"/>
      <c r="G45" s="703"/>
      <c r="H45" s="704"/>
      <c r="I45" s="63">
        <f>VLOOKUP( $B45, T_Aop[], 4, 1)</f>
        <v>225</v>
      </c>
      <c r="J45" s="450"/>
      <c r="K45" s="450">
        <f>2202355+252870</f>
        <v>2455225</v>
      </c>
      <c r="L45" s="451">
        <v>2273402</v>
      </c>
      <c r="N45" s="44"/>
      <c r="P45" s="183"/>
    </row>
    <row r="46" spans="2:16" ht="14.25" customHeight="1" x14ac:dyDescent="0.2">
      <c r="B46" s="15">
        <v>164</v>
      </c>
      <c r="C46" s="58" t="str">
        <f>VLOOKUP( $B46, T_Aop[], 5, 1)</f>
        <v>530 do 539</v>
      </c>
      <c r="D46" s="699" t="str">
        <f>VLOOKUP( $B46, T_Aop[], 6, 1)</f>
        <v xml:space="preserve">    5. Troškovi proizvodnih usluga</v>
      </c>
      <c r="E46" s="700"/>
      <c r="F46" s="700"/>
      <c r="G46" s="700"/>
      <c r="H46" s="701"/>
      <c r="I46" s="59">
        <f>VLOOKUP( $B46, T_Aop[], 4, 1)</f>
        <v>226</v>
      </c>
      <c r="J46" s="452"/>
      <c r="K46" s="452">
        <f>1091174+56716-22500</f>
        <v>1125390</v>
      </c>
      <c r="L46" s="453">
        <v>485203</v>
      </c>
      <c r="N46" s="44"/>
      <c r="P46" s="183"/>
    </row>
    <row r="47" spans="2:16" ht="14.25" customHeight="1" x14ac:dyDescent="0.2">
      <c r="B47" s="15">
        <v>165</v>
      </c>
      <c r="C47" s="62" t="str">
        <f>VLOOKUP( $B47, T_Aop[], 5, 1)</f>
        <v>54</v>
      </c>
      <c r="D47" s="702" t="str">
        <f>VLOOKUP( $B47, T_Aop[], 6, 1)</f>
        <v xml:space="preserve">    6. Troškovi amortizacije i rezervisanja (228 + 233)</v>
      </c>
      <c r="E47" s="703"/>
      <c r="F47" s="703"/>
      <c r="G47" s="703"/>
      <c r="H47" s="704"/>
      <c r="I47" s="63">
        <f>VLOOKUP( $B47, T_Aop[], 4, 1)</f>
        <v>227</v>
      </c>
      <c r="J47" s="450"/>
      <c r="K47" s="456">
        <f>IF(AND([0]!Godina=2024,MID(Osnovni_podaci!D20,3,1)="e",Osnovni_podaci!L24=5,Osnovni_podaci!G24=0,MID(Osnovni_podaci!D20,3,1)="e",MID(Osnovni_podaci!D20,8,1)="d"),SUBTOTAL( 9, K48:K53),A1)</f>
        <v>5102202</v>
      </c>
      <c r="L47" s="457">
        <f>IF(AND([0]!Godina=2024,MID(Osnovni_podaci!D20,3,1)="e",Osnovni_podaci!L24=5,Osnovni_podaci!G24=0,MID(Osnovni_podaci!D20,3,1)="e",MID(Osnovni_podaci!D20,8,1)="d"),SUBTOTAL( 9, L48:L53),A1)</f>
        <v>4881333</v>
      </c>
      <c r="N47" s="44"/>
      <c r="P47" s="183"/>
    </row>
    <row r="48" spans="2:16" ht="14.25" customHeight="1" x14ac:dyDescent="0.2">
      <c r="B48" s="15">
        <v>166</v>
      </c>
      <c r="C48" s="58" t="str">
        <f>VLOOKUP( $B48, T_Aop[], 5, 1)</f>
        <v>540</v>
      </c>
      <c r="D48" s="699" t="str">
        <f>VLOOKUP( $B48, T_Aop[], 6, 1)</f>
        <v xml:space="preserve">      6.1 Troškovi amortizacije (229 do 232)</v>
      </c>
      <c r="E48" s="700"/>
      <c r="F48" s="700"/>
      <c r="G48" s="700"/>
      <c r="H48" s="701"/>
      <c r="I48" s="59">
        <f>VLOOKUP( $B48, T_Aop[], 4, 1)</f>
        <v>228</v>
      </c>
      <c r="J48" s="452"/>
      <c r="K48" s="454">
        <f>IF(AND([0]!Godina=2024,MID(Osnovni_podaci!D20,3,1)="e",Osnovni_podaci!L24=5,Osnovni_podaci!G24=0,MID(Osnovni_podaci!D20,3,1)="e",MID(Osnovni_podaci!D20,8,1)="d"),SUBTOTAL( 9, K49:K52),A1)</f>
        <v>5102202</v>
      </c>
      <c r="L48" s="455">
        <f>IF(AND([0]!Godina=2024,MID(Osnovni_podaci!D20,3,1)="e",Osnovni_podaci!L24=5,Osnovni_podaci!G24=0,MID(Osnovni_podaci!D20,3,1)="e",MID(Osnovni_podaci!D20,8,1)="d"),SUBTOTAL( 9, L49:L52),A1)</f>
        <v>4881333</v>
      </c>
      <c r="N48" s="44"/>
      <c r="P48" s="183"/>
    </row>
    <row r="49" spans="2:16" ht="14.25" customHeight="1" x14ac:dyDescent="0.2">
      <c r="B49" s="15">
        <v>167</v>
      </c>
      <c r="C49" s="62" t="str">
        <f>VLOOKUP( $B49, T_Aop[], 5, 1)</f>
        <v>dio 540</v>
      </c>
      <c r="D49" s="702" t="str">
        <f>VLOOKUP( $B49, T_Aop[], 6, 1)</f>
        <v xml:space="preserve">        a) Amortizacija nekretnina, postrojenja i opreme</v>
      </c>
      <c r="E49" s="703"/>
      <c r="F49" s="703"/>
      <c r="G49" s="703"/>
      <c r="H49" s="704"/>
      <c r="I49" s="63">
        <f>VLOOKUP( $B49, T_Aop[], 4, 1)</f>
        <v>229</v>
      </c>
      <c r="J49" s="450"/>
      <c r="K49" s="450">
        <f>4614872+469598+2655</f>
        <v>5087125</v>
      </c>
      <c r="L49" s="451">
        <v>4881333</v>
      </c>
      <c r="N49" s="44"/>
      <c r="P49" s="183"/>
    </row>
    <row r="50" spans="2:16" ht="14.25" customHeight="1" x14ac:dyDescent="0.2">
      <c r="B50" s="15">
        <v>168</v>
      </c>
      <c r="C50" s="58" t="str">
        <f>IF(AND([0]!Godina=2024,MID(Osnovni_podaci!D20,3,1)="e",Osnovni_podaci!L24=5,Osnovni_podaci!G24=0,MID(Osnovni_podaci!D20,3,1)="e",MID(Osnovni_podaci!D20,8,1)="d"),VLOOKUP( $B50, T_Aop[], 5, 1),A1)</f>
        <v>dio 540</v>
      </c>
      <c r="D50" s="699" t="str">
        <f>VLOOKUP( $B50, T_Aop[], 6, 1)</f>
        <v xml:space="preserve">        b) Amortizacija investicionih nekretnina</v>
      </c>
      <c r="E50" s="700"/>
      <c r="F50" s="700"/>
      <c r="G50" s="700"/>
      <c r="H50" s="701"/>
      <c r="I50" s="59">
        <f>VLOOKUP( $B50, T_Aop[], 4, 1)</f>
        <v>230</v>
      </c>
      <c r="J50" s="452"/>
      <c r="K50" s="452">
        <f>2655-2655</f>
        <v>0</v>
      </c>
      <c r="L50" s="453">
        <v>0</v>
      </c>
      <c r="N50" s="44"/>
      <c r="P50" s="183"/>
    </row>
    <row r="51" spans="2:16" ht="14.25" customHeight="1" x14ac:dyDescent="0.2">
      <c r="B51" s="15">
        <v>169</v>
      </c>
      <c r="C51" s="62" t="str">
        <f>IF(AND([0]!Godina=2024,MID(Osnovni_podaci!D20,3,1)="e",Osnovni_podaci!L24=5,Osnovni_podaci!G24=0,MID(Osnovni_podaci!D20,3,1)="e",MID(Osnovni_podaci!D20,8,1)="d"),VLOOKUP( $B51, T_Aop[], 5, 1),A1)</f>
        <v>dio 540</v>
      </c>
      <c r="D51" s="702" t="str">
        <f>VLOOKUP( $B51, T_Aop[], 6, 1)</f>
        <v xml:space="preserve">        c) Amortizacija sredstava uzetih u zakup</v>
      </c>
      <c r="E51" s="703"/>
      <c r="F51" s="703"/>
      <c r="G51" s="703"/>
      <c r="H51" s="704"/>
      <c r="I51" s="63">
        <f>VLOOKUP( $B51, T_Aop[], 4, 1)</f>
        <v>231</v>
      </c>
      <c r="J51" s="450"/>
      <c r="K51" s="450">
        <v>15077</v>
      </c>
      <c r="L51" s="451"/>
      <c r="N51" s="44"/>
      <c r="P51" s="183"/>
    </row>
    <row r="52" spans="2:16" ht="14.25" customHeight="1" x14ac:dyDescent="0.2">
      <c r="B52" s="15">
        <v>170</v>
      </c>
      <c r="C52" s="58" t="str">
        <f>IF(AND([0]!Godina=2024,MID(Osnovni_podaci!D20,3,1)="e",Osnovni_podaci!L24=5,Osnovni_podaci!G24=0,MID(Osnovni_podaci!D20,3,1)="e",MID(Osnovni_podaci!D20,8,1)="d"),VLOOKUP( $B52, T_Aop[], 5, 1),A1)</f>
        <v>dio 540</v>
      </c>
      <c r="D52" s="699" t="str">
        <f>VLOOKUP( $B52, T_Aop[], 6, 1)</f>
        <v xml:space="preserve">        d) Amortizacija ostalih sredstava</v>
      </c>
      <c r="E52" s="700"/>
      <c r="F52" s="700"/>
      <c r="G52" s="700"/>
      <c r="H52" s="701"/>
      <c r="I52" s="59">
        <f>VLOOKUP( $B52, T_Aop[], 4, 1)</f>
        <v>232</v>
      </c>
      <c r="J52" s="452"/>
      <c r="K52" s="452"/>
      <c r="L52" s="453"/>
      <c r="N52" s="44"/>
      <c r="P52" s="183"/>
    </row>
    <row r="53" spans="2:16" ht="14.25" customHeight="1" x14ac:dyDescent="0.2">
      <c r="B53" s="15">
        <v>171</v>
      </c>
      <c r="C53" s="62" t="str">
        <f>IF(AND([0]!Godina=2024,MID(Osnovni_podaci!D20,3,1)="e",Osnovni_podaci!L24=5,Osnovni_podaci!G24=0,MID(Osnovni_podaci!D20,3,1)="e",MID(Osnovni_podaci!D20,8,1)="d"),VLOOKUP( $B53, T_Aop[], 5, 1),A1)</f>
        <v>541</v>
      </c>
      <c r="D53" s="702" t="str">
        <f>VLOOKUP( $B53, T_Aop[], 6, 1)</f>
        <v xml:space="preserve">      6.2 Troškovi rezervisanja</v>
      </c>
      <c r="E53" s="703"/>
      <c r="F53" s="703"/>
      <c r="G53" s="703"/>
      <c r="H53" s="704"/>
      <c r="I53" s="63">
        <f>VLOOKUP( $B53, T_Aop[], 4, 1)</f>
        <v>233</v>
      </c>
      <c r="J53" s="450"/>
      <c r="K53" s="450"/>
      <c r="L53" s="451"/>
      <c r="N53" s="44"/>
      <c r="P53" s="183"/>
    </row>
    <row r="54" spans="2:16" ht="14.25" customHeight="1" x14ac:dyDescent="0.2">
      <c r="B54" s="15">
        <v>172</v>
      </c>
      <c r="C54" s="58" t="str">
        <f>IF(AND([0]!Godina=2024,MID(Osnovni_podaci!D20,3,1)="e",Osnovni_podaci!L24=5,Osnovni_podaci!G24=0,MID(Osnovni_podaci!D20,3,1)="e",MID(Osnovni_podaci!D20,8,1)="d"),VLOOKUP( $B54, T_Aop[], 5, 1),A1)</f>
        <v>55 osim 555 i 556</v>
      </c>
      <c r="D54" s="699" t="str">
        <f>VLOOKUP( $B54, T_Aop[], 6, 1)</f>
        <v xml:space="preserve">    7. Nematerijalni troškovi (bez poreza i doprinosa)</v>
      </c>
      <c r="E54" s="700"/>
      <c r="F54" s="700"/>
      <c r="G54" s="700"/>
      <c r="H54" s="701"/>
      <c r="I54" s="59">
        <f>VLOOKUP( $B54, T_Aop[], 4, 1)</f>
        <v>234</v>
      </c>
      <c r="J54" s="452"/>
      <c r="K54" s="452">
        <f>2803445+61019</f>
        <v>2864464</v>
      </c>
      <c r="L54" s="453">
        <v>2845261</v>
      </c>
      <c r="N54" s="44"/>
      <c r="P54" s="183"/>
    </row>
    <row r="55" spans="2:16" ht="14.25" customHeight="1" x14ac:dyDescent="0.2">
      <c r="B55" s="15">
        <v>173</v>
      </c>
      <c r="C55" s="62" t="str">
        <f>IF(AND([0]!Godina=2024,MID(Osnovni_podaci!D20,3,1)="e",Osnovni_podaci!L24=5,Osnovni_podaci!G24=0,MID(Osnovni_podaci!D20,3,1)="e",MID(Osnovni_podaci!D20,8,1)="d"),VLOOKUP( $B55, T_Aop[], 5, 1),A1)</f>
        <v>555</v>
      </c>
      <c r="D55" s="702" t="str">
        <f>VLOOKUP( $B55, T_Aop[], 6, 1)</f>
        <v xml:space="preserve">    8. Troškovi poreza</v>
      </c>
      <c r="E55" s="703"/>
      <c r="F55" s="703"/>
      <c r="G55" s="703"/>
      <c r="H55" s="704"/>
      <c r="I55" s="63">
        <f>VLOOKUP( $B55, T_Aop[], 4, 1)</f>
        <v>235</v>
      </c>
      <c r="J55" s="450"/>
      <c r="K55" s="450">
        <f>83929+165039</f>
        <v>248968</v>
      </c>
      <c r="L55" s="451">
        <v>367662</v>
      </c>
      <c r="N55" s="44"/>
      <c r="P55" s="183"/>
    </row>
    <row r="56" spans="2:16" ht="14.25" customHeight="1" x14ac:dyDescent="0.2">
      <c r="B56" s="15">
        <v>174</v>
      </c>
      <c r="C56" s="58" t="str">
        <f>IF(AND([0]!Godina=2024,MID(Osnovni_podaci!D20,3,1)="e",Osnovni_podaci!L24=5,Osnovni_podaci!G24=0,MID(Osnovni_podaci!D20,3,1)="e",MID(Osnovni_podaci!D20,8,1)="d"),VLOOKUP( $B56, T_Aop[], 5, 1),A1)</f>
        <v>556</v>
      </c>
      <c r="D56" s="699" t="str">
        <f>VLOOKUP( $B56, T_Aop[], 6, 1)</f>
        <v xml:space="preserve">    9. Troškovi doprinosa</v>
      </c>
      <c r="E56" s="700"/>
      <c r="F56" s="700"/>
      <c r="G56" s="700"/>
      <c r="H56" s="701"/>
      <c r="I56" s="59">
        <f>VLOOKUP( $B56, T_Aop[], 4, 1)</f>
        <v>236</v>
      </c>
      <c r="J56" s="452"/>
      <c r="K56" s="452">
        <f>129522+24384</f>
        <v>153906</v>
      </c>
      <c r="L56" s="453">
        <v>174257</v>
      </c>
      <c r="N56" s="44"/>
      <c r="P56" s="183"/>
    </row>
    <row r="57" spans="2:16" ht="12.75" customHeight="1" x14ac:dyDescent="0.2">
      <c r="B57" s="15">
        <v>175</v>
      </c>
      <c r="C57" s="62">
        <f>IF(AND([0]!Godina=2024,MID(Osnovni_podaci!D20,3,1)="e",Osnovni_podaci!L24=5,Osnovni_podaci!G24=0,MID(Osnovni_podaci!D20,3,1)="e",MID(Osnovni_podaci!D20,8,1)="d"),VLOOKUP( $B57, T_Aop[], 5, 1),A1)</f>
        <v>0</v>
      </c>
      <c r="D57" s="708" t="str">
        <f>VLOOKUP( $B57, T_Aop[], 6, 1)</f>
        <v xml:space="preserve">  B.  POSLOVNI DOBITAK (201 – 219)</v>
      </c>
      <c r="E57" s="709"/>
      <c r="F57" s="709"/>
      <c r="G57" s="709"/>
      <c r="H57" s="710"/>
      <c r="I57" s="179">
        <f>VLOOKUP( $B57, T_Aop[], 4, 1)</f>
        <v>237</v>
      </c>
      <c r="J57" s="450"/>
      <c r="K57" s="67">
        <f>IF(AND([0]!Godina=2024,MID(Osnovni_podaci!D20,3,1)="e",Osnovni_podaci!L24=5,Osnovni_podaci!G24=0,MID(Osnovni_podaci!D20,3,1)="e",MID(Osnovni_podaci!D20,8,1)="d"),IF( SUBTOTAL( 9, K21:K34,K36,K38) - SUBTOTAL( 9, K35, K37, K39:K56)  &lt;= 0, 0, ABS( SUBTOTAL( 9, K21:K34,K36,K38) - SUBTOTAL( 9, K35, K37, K39:K56))),A1)</f>
        <v>755646</v>
      </c>
      <c r="L57" s="68">
        <f>IF(AND([0]!Godina=2024,MID(Osnovni_podaci!D20,3,1)="e",Osnovni_podaci!L24=5,Osnovni_podaci!G24=0,MID(Osnovni_podaci!D20,3,1)="e",MID(Osnovni_podaci!D20,8,1)="d"),IF( SUBTOTAL( 9, L21:L34,L36,L38) - SUBTOTAL( 9, L35, L37, L39:L56)  &lt;= 0, 0, ABS( SUBTOTAL( 9, L21:L34,L36,L38) - SUBTOTAL( 9, L35, L37, L39:L56))),A1)</f>
        <v>4308928</v>
      </c>
      <c r="N57" s="44"/>
      <c r="P57" s="183"/>
    </row>
    <row r="58" spans="2:16" ht="12.75" customHeight="1" x14ac:dyDescent="0.2">
      <c r="B58" s="15">
        <v>176</v>
      </c>
      <c r="C58" s="58">
        <f>IF(AND([0]!Godina=2024,MID(Osnovni_podaci!D20,3,1)="e",Osnovni_podaci!L24=5,Osnovni_podaci!G24=0,MID(Osnovni_podaci!D20,3,1)="e",MID(Osnovni_podaci!D20,8,1)="d"),VLOOKUP( $B58, T_Aop[], 5, 1),A1)</f>
        <v>0</v>
      </c>
      <c r="D58" s="705" t="str">
        <f>VLOOKUP( $B58, T_Aop[], 6, 1)</f>
        <v xml:space="preserve">  V.  POSLOVNI GUBITAK (219 – 201)</v>
      </c>
      <c r="E58" s="706"/>
      <c r="F58" s="706"/>
      <c r="G58" s="706"/>
      <c r="H58" s="707"/>
      <c r="I58" s="178">
        <f>VLOOKUP( $B58, T_Aop[], 4, 1)</f>
        <v>238</v>
      </c>
      <c r="J58" s="452"/>
      <c r="K58" s="253">
        <f>IF(AND([0]!Godina=2024,MID(Osnovni_podaci!D20,3,1)="e",Osnovni_podaci!L24=5,Osnovni_podaci!G24=0,MID(Osnovni_podaci!D20,3,1)="e",MID(Osnovni_podaci!D20,8,1)="d"),IF( SUBTOTAL( 9, K21:K34,K36,K38) - SUBTOTAL( 9, K35, K37, K39:K56)  &gt;= 0, 0, ABS( SUBTOTAL( 9, K21:K34,K36,K38) - SUBTOTAL( 9, K35, K37, K39:K56))),A1)</f>
        <v>0</v>
      </c>
      <c r="L58" s="402">
        <f>IF(AND([0]!Godina=2024,MID(Osnovni_podaci!D20,3,1)="e",Osnovni_podaci!L24=5,Osnovni_podaci!G24=0,MID(Osnovni_podaci!D20,3,1)="e",MID(Osnovni_podaci!D20,8,1)="d"),IF(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IF(AND([0]!Godina=2024,MID(Osnovni_podaci!D20,3,1)="e",Osnovni_podaci!L24=5,Osnovni_podaci!G24=0,MID(Osnovni_podaci!D20,3,1)="e",MID(Osnovni_podaci!D20,8,1)="d"),VLOOKUP( $B59, T_Aop[], 5, 1),A1)</f>
        <v>66</v>
      </c>
      <c r="D59" s="708" t="str">
        <f>VLOOKUP( $B59, T_Aop[], 6, 1)</f>
        <v xml:space="preserve">  G. FINANSIJSKI PRIHODI I RASHODI _x000D_
I  FINANSIJSKI PRIHODI (240 do 243)</v>
      </c>
      <c r="E59" s="709"/>
      <c r="F59" s="709"/>
      <c r="G59" s="709"/>
      <c r="H59" s="710"/>
      <c r="I59" s="179">
        <f>VLOOKUP( $B59, T_Aop[], 4, 1)</f>
        <v>239</v>
      </c>
      <c r="J59" s="450"/>
      <c r="K59" s="67">
        <f>IF(AND([0]!Godina=2024,MID(Osnovni_podaci!D20,3,1)="e",Osnovni_podaci!L24=5,Osnovni_podaci!G24=0,MID(Osnovni_podaci!D20,3,1)="e",MID(Osnovni_podaci!D20,8,1)="d"),SUBTOTAL( 9, K60:K63),A1)</f>
        <v>18658</v>
      </c>
      <c r="L59" s="68">
        <f>IF(AND([0]!Godina=2024,MID(Osnovni_podaci!D20,3,1)="e",Osnovni_podaci!L24=5,Osnovni_podaci!G24=0,MID(Osnovni_podaci!D20,3,1)="e",MID(Osnovni_podaci!D20,8,1)="d"),SUBTOTAL( 9, L60:L63),A1)</f>
        <v>23685</v>
      </c>
      <c r="N59" s="44"/>
      <c r="P59" s="183"/>
    </row>
    <row r="60" spans="2:16" ht="13.5" customHeight="1" x14ac:dyDescent="0.2">
      <c r="B60" s="15">
        <v>178</v>
      </c>
      <c r="C60" s="58" t="str">
        <f>IF(AND([0]!Godina=2024,MID(Osnovni_podaci!D20,3,1)="e",Osnovni_podaci!L24=5,Osnovni_podaci!G24=0,MID(Osnovni_podaci!D20,3,1)="e",MID(Osnovni_podaci!D20,8,1)="d"),VLOOKUP( $B60, T_Aop[], 5, 1),A1)</f>
        <v>660, 661</v>
      </c>
      <c r="D60" s="699" t="str">
        <f>VLOOKUP( $B60, T_Aop[], 6, 1)</f>
        <v xml:space="preserve">    1.   Prihodi od kamata</v>
      </c>
      <c r="E60" s="700"/>
      <c r="F60" s="700"/>
      <c r="G60" s="700"/>
      <c r="H60" s="701"/>
      <c r="I60" s="59">
        <f>VLOOKUP( $B60, T_Aop[], 4, 1)</f>
        <v>240</v>
      </c>
      <c r="J60" s="452"/>
      <c r="K60" s="452">
        <v>18655</v>
      </c>
      <c r="L60" s="453">
        <v>23679</v>
      </c>
      <c r="N60" s="44"/>
      <c r="P60" s="183"/>
    </row>
    <row r="61" spans="2:16" ht="13.5" customHeight="1" x14ac:dyDescent="0.2">
      <c r="B61" s="15">
        <v>179</v>
      </c>
      <c r="C61" s="62" t="str">
        <f>IF(AND([0]!Godina=2024,MID(Osnovni_podaci!D20,3,1)="e",Osnovni_podaci!L24=5,Osnovni_podaci!G24=0,MID(Osnovni_podaci!D20,3,1)="e",MID(Osnovni_podaci!D20,8,1)="d"),VLOOKUP( $B61, T_Aop[], 5, 1),A1)</f>
        <v>662</v>
      </c>
      <c r="D61" s="702" t="str">
        <f>VLOOKUP( $B61, T_Aop[], 6, 1)</f>
        <v xml:space="preserve">    2.   Pozitivne kursne razlike</v>
      </c>
      <c r="E61" s="703"/>
      <c r="F61" s="703"/>
      <c r="G61" s="703"/>
      <c r="H61" s="704"/>
      <c r="I61" s="63">
        <f>VLOOKUP( $B61, T_Aop[], 4, 1)</f>
        <v>241</v>
      </c>
      <c r="J61" s="450"/>
      <c r="K61" s="450"/>
      <c r="L61" s="451"/>
      <c r="N61" s="44"/>
      <c r="P61" s="183"/>
    </row>
    <row r="62" spans="2:16" ht="13.5" customHeight="1" x14ac:dyDescent="0.2">
      <c r="B62" s="15">
        <v>180</v>
      </c>
      <c r="C62" s="58" t="str">
        <f>IF(AND([0]!Godina=2024,MID(Osnovni_podaci!D20,3,1)="e",Osnovni_podaci!L24=5,Osnovni_podaci!G24=0,MID(Osnovni_podaci!D20,3,1)="e",MID(Osnovni_podaci!D20,8,1)="d"),VLOOKUP( $B62, T_Aop[], 5, 1),A1)</f>
        <v>663</v>
      </c>
      <c r="D62" s="699" t="str">
        <f>VLOOKUP( $B62, T_Aop[], 6, 1)</f>
        <v xml:space="preserve">    3.   Prihodi od efekata valutne klauzule</v>
      </c>
      <c r="E62" s="700"/>
      <c r="F62" s="700"/>
      <c r="G62" s="700"/>
      <c r="H62" s="701"/>
      <c r="I62" s="59">
        <f>VLOOKUP( $B62, T_Aop[], 4, 1)</f>
        <v>242</v>
      </c>
      <c r="J62" s="452"/>
      <c r="K62" s="452"/>
      <c r="L62" s="453"/>
      <c r="N62" s="44"/>
      <c r="P62" s="183"/>
    </row>
    <row r="63" spans="2:16" ht="13.5" customHeight="1" x14ac:dyDescent="0.2">
      <c r="B63" s="15">
        <v>181</v>
      </c>
      <c r="C63" s="62" t="str">
        <f>IF(AND([0]!Godina=2024,MID(Osnovni_podaci!D20,3,1)="e",Osnovni_podaci!L24=5,Osnovni_podaci!G24=0,MID(Osnovni_podaci!D20,3,1)="e",MID(Osnovni_podaci!D20,8,1)="d"),VLOOKUP( $B63, T_Aop[], 5, 1),A1)</f>
        <v>669</v>
      </c>
      <c r="D63" s="702" t="str">
        <f>VLOOKUP( $B63, T_Aop[], 6, 1)</f>
        <v xml:space="preserve">    4.   Ostali finansijski prihodi</v>
      </c>
      <c r="E63" s="703"/>
      <c r="F63" s="703"/>
      <c r="G63" s="703"/>
      <c r="H63" s="704"/>
      <c r="I63" s="63">
        <f>VLOOKUP( $B63, T_Aop[], 4, 1)</f>
        <v>243</v>
      </c>
      <c r="J63" s="450"/>
      <c r="K63" s="450">
        <v>3</v>
      </c>
      <c r="L63" s="451">
        <v>6</v>
      </c>
      <c r="N63" s="44"/>
      <c r="P63" s="183"/>
    </row>
    <row r="64" spans="2:16" ht="15" customHeight="1" x14ac:dyDescent="0.2">
      <c r="B64" s="15">
        <v>182</v>
      </c>
      <c r="C64" s="58" t="str">
        <f>IF(AND([0]!Godina=2024,MID(Osnovni_podaci!D20,3,1)="e",Osnovni_podaci!L24=5,Osnovni_podaci!G24=0,MID(Osnovni_podaci!D20,3,1)="e",MID(Osnovni_podaci!D20,8,1)="d"),VLOOKUP( $B64, T_Aop[], 5, 1),A1)</f>
        <v>56</v>
      </c>
      <c r="D64" s="705" t="str">
        <f>VLOOKUP( $B64, T_Aop[], 6, 1)</f>
        <v xml:space="preserve">  II  FINANSIJSKI RASHODI (245 do 248)</v>
      </c>
      <c r="E64" s="706"/>
      <c r="F64" s="706"/>
      <c r="G64" s="706"/>
      <c r="H64" s="707"/>
      <c r="I64" s="178">
        <f>VLOOKUP( $B64, T_Aop[], 4, 1)</f>
        <v>244</v>
      </c>
      <c r="J64" s="452"/>
      <c r="K64" s="60">
        <f>IF(AND([0]!Godina=2024,MID(Osnovni_podaci!D20,3,1)="e",Osnovni_podaci!L24=5,Osnovni_podaci!G24=0,MID(Osnovni_podaci!D20,3,1)="e",MID(Osnovni_podaci!D20,8,1)="d"),SUBTOTAL( 9, K65:K68),A1)</f>
        <v>542330</v>
      </c>
      <c r="L64" s="61">
        <f>IF(AND([0]!Godina=2024,MID(Osnovni_podaci!D20,3,1)="e",Osnovni_podaci!L24=5,Osnovni_podaci!G24=0,MID(Osnovni_podaci!D20,3,1)="e",MID(Osnovni_podaci!D20,8,1)="d"),SUBTOTAL( 9, L65:L68),A1)</f>
        <v>481170</v>
      </c>
      <c r="N64" s="44"/>
      <c r="P64" s="183"/>
    </row>
    <row r="65" spans="2:16" ht="13.5" customHeight="1" x14ac:dyDescent="0.2">
      <c r="B65" s="15">
        <v>183</v>
      </c>
      <c r="C65" s="62" t="str">
        <f>IF(AND([0]!Godina=2024,MID(Osnovni_podaci!D20,3,1)="e",Osnovni_podaci!L24=5,Osnovni_podaci!G24=0,MID(Osnovni_podaci!D20,3,1)="e",MID(Osnovni_podaci!D20,8,1)="d"),VLOOKUP( $B65, T_Aop[], 5, 1),A1)</f>
        <v>560, 561</v>
      </c>
      <c r="D65" s="702" t="str">
        <f>VLOOKUP( $B65, T_Aop[], 6, 1)</f>
        <v xml:space="preserve">    1. Rashodi kamata</v>
      </c>
      <c r="E65" s="703"/>
      <c r="F65" s="703"/>
      <c r="G65" s="703"/>
      <c r="H65" s="704"/>
      <c r="I65" s="63">
        <f>VLOOKUP( $B65, T_Aop[], 4, 1)</f>
        <v>245</v>
      </c>
      <c r="J65" s="450"/>
      <c r="K65" s="450">
        <f>209939+332388</f>
        <v>542327</v>
      </c>
      <c r="L65" s="451">
        <v>481166</v>
      </c>
      <c r="N65" s="44"/>
      <c r="P65" s="183"/>
    </row>
    <row r="66" spans="2:16" ht="13.5" customHeight="1" x14ac:dyDescent="0.2">
      <c r="B66" s="15">
        <v>184</v>
      </c>
      <c r="C66" s="58" t="str">
        <f>IF(AND([0]!Godina=2024,MID(Osnovni_podaci!D20,3,1)="e",Osnovni_podaci!L24=5,Osnovni_podaci!G24=0,MID(Osnovni_podaci!D20,3,1)="e",MID(Osnovni_podaci!D20,8,1)="d"),VLOOKUP( $B66, T_Aop[], 5, 1),A1)</f>
        <v>562</v>
      </c>
      <c r="D66" s="699" t="str">
        <f>VLOOKUP( $B66, T_Aop[], 6, 1)</f>
        <v xml:space="preserve">    2. Negativne kursne razlike</v>
      </c>
      <c r="E66" s="700"/>
      <c r="F66" s="700"/>
      <c r="G66" s="700"/>
      <c r="H66" s="701"/>
      <c r="I66" s="59">
        <f>VLOOKUP( $B66, T_Aop[], 4, 1)</f>
        <v>246</v>
      </c>
      <c r="J66" s="452"/>
      <c r="K66" s="452"/>
      <c r="L66" s="453"/>
      <c r="N66" s="44"/>
      <c r="P66" s="183"/>
    </row>
    <row r="67" spans="2:16" ht="13.5" customHeight="1" x14ac:dyDescent="0.2">
      <c r="B67" s="15">
        <v>185</v>
      </c>
      <c r="C67" s="62" t="str">
        <f>IF(AND([0]!Godina=2024,MID(Osnovni_podaci!D20,3,1)="e",Osnovni_podaci!L24=5,Osnovni_podaci!G24=0,MID(Osnovni_podaci!D20,3,1)="e",MID(Osnovni_podaci!D20,8,1)="d"),VLOOKUP( $B67, T_Aop[], 5, 1),A1)</f>
        <v>563</v>
      </c>
      <c r="D67" s="702" t="str">
        <f>VLOOKUP( $B67, T_Aop[], 6, 1)</f>
        <v xml:space="preserve">    3. Rashodi po osnovu valutne klauzule</v>
      </c>
      <c r="E67" s="703"/>
      <c r="F67" s="703"/>
      <c r="G67" s="703"/>
      <c r="H67" s="704"/>
      <c r="I67" s="63">
        <f>VLOOKUP( $B67, T_Aop[], 4, 1)</f>
        <v>247</v>
      </c>
      <c r="J67" s="450"/>
      <c r="K67" s="450"/>
      <c r="L67" s="451"/>
      <c r="N67" s="44"/>
      <c r="P67" s="183"/>
    </row>
    <row r="68" spans="2:16" ht="13.5" customHeight="1" x14ac:dyDescent="0.2">
      <c r="B68" s="15">
        <v>186</v>
      </c>
      <c r="C68" s="58" t="str">
        <f>IF(AND([0]!Godina=2024,MID(Osnovni_podaci!D20,3,1)="e",Osnovni_podaci!L24=5,Osnovni_podaci!G24=0,MID(Osnovni_podaci!D20,3,1)="e",MID(Osnovni_podaci!D20,8,1)="d"),VLOOKUP( $B68, T_Aop[], 5, 1),A1)</f>
        <v>569</v>
      </c>
      <c r="D68" s="699" t="str">
        <f>VLOOKUP( $B68, T_Aop[], 6, 1)</f>
        <v xml:space="preserve">    4. Ostali finansijski rashodi</v>
      </c>
      <c r="E68" s="700"/>
      <c r="F68" s="700"/>
      <c r="G68" s="700"/>
      <c r="H68" s="701"/>
      <c r="I68" s="59">
        <f>VLOOKUP( $B68, T_Aop[], 4, 1)</f>
        <v>248</v>
      </c>
      <c r="J68" s="452"/>
      <c r="K68" s="452">
        <v>3</v>
      </c>
      <c r="L68" s="453">
        <v>4</v>
      </c>
      <c r="N68" s="44"/>
      <c r="P68" s="183"/>
    </row>
    <row r="69" spans="2:16" ht="21" customHeight="1" x14ac:dyDescent="0.2">
      <c r="B69" s="15">
        <v>187</v>
      </c>
      <c r="C69" s="188">
        <f>IF(AND([0]!Godina=2024,MID(Osnovni_podaci!D20,3,1)="e",Osnovni_podaci!L24=5,Osnovni_podaci!G24=0,MID(Osnovni_podaci!D20,3,1)="e",MID(Osnovni_podaci!D20,8,1)="d"),VLOOKUP( $B69, T_Aop[], 5, 1),A1)</f>
        <v>0</v>
      </c>
      <c r="D69" s="708" t="str">
        <f>VLOOKUP( $B69, T_Aop[], 6, 1)</f>
        <v xml:space="preserve">  D. DOBITAK REDOVNE AKTIVNOSTI  (237 + 239 – 244) ili (239-244-238)     </v>
      </c>
      <c r="E69" s="709"/>
      <c r="F69" s="709"/>
      <c r="G69" s="709"/>
      <c r="H69" s="710"/>
      <c r="I69" s="179">
        <f>VLOOKUP( $B69, T_Aop[], 4, 1)</f>
        <v>249</v>
      </c>
      <c r="J69" s="450"/>
      <c r="K69" s="67">
        <f>IF(AND([0]!Godina=2024,MID(Osnovni_podaci!D20,3,1)="e",Osnovni_podaci!L24=5,Osnovni_podaci!G24=0,MID(Osnovni_podaci!D20,3,1)="e",MID(Osnovni_podaci!D20,8,1)="d"),IF( SUBTOTAL( 9, K21:K34,K36, K38,K59:K63) - SUBTOTAL( 9, K35, K37, K39:K56, K64:K68) &lt;= 0, 0, ABS( SUBTOTAL( 9, K21:K34,K36,K38, K59:K63) - SUBTOTAL( 9, K35, K37, K39:K56, K64:K68))),A1)</f>
        <v>231974</v>
      </c>
      <c r="L69" s="68">
        <f>IF(AND([0]!Godina=2024,MID(Osnovni_podaci!D20,3,1)="e",Osnovni_podaci!L24=5,Osnovni_podaci!G24=0,MID(Osnovni_podaci!D20,3,1)="e",MID(Osnovni_podaci!D20,8,1)="d"),IF( SUBTOTAL( 9, L21:L34,L36, L38,L59:L63) - SUBTOTAL( 9, L35, L37, L39:L56, L64:L68) &lt;= 0, 0, ABS( SUBTOTAL( 9, L21:L34,L36,L38, L59:L63) - SUBTOTAL( 9, L35, L37, L39:L56, L64:L68))),A1)</f>
        <v>3851443</v>
      </c>
      <c r="N69" s="44"/>
      <c r="P69" s="183"/>
    </row>
    <row r="70" spans="2:16" ht="21" customHeight="1" x14ac:dyDescent="0.2">
      <c r="B70" s="15">
        <v>188</v>
      </c>
      <c r="C70" s="58">
        <f>IF(AND([0]!Godina=2024,MID(Osnovni_podaci!D20,3,1)="e",Osnovni_podaci!L24=5,Osnovni_podaci!G24=0,MID(Osnovni_podaci!D20,3,1)="e",MID(Osnovni_podaci!D20,8,1)="d"),VLOOKUP( $B70, T_Aop[], 5, 1),A1)</f>
        <v>0</v>
      </c>
      <c r="D70" s="705" t="str">
        <f>VLOOKUP( $B70, T_Aop[], 6, 1)</f>
        <v xml:space="preserve">  Đ. GUBITAK REDOVNE AKTIVNOSTI (238 + 244 -239) ili (244-239-237)</v>
      </c>
      <c r="E70" s="706"/>
      <c r="F70" s="706"/>
      <c r="G70" s="706"/>
      <c r="H70" s="707"/>
      <c r="I70" s="178">
        <f>VLOOKUP( $B70, T_Aop[], 4, 1)</f>
        <v>250</v>
      </c>
      <c r="J70" s="452"/>
      <c r="K70" s="253">
        <f>IF(AND([0]!Godina=2024,MID(Osnovni_podaci!D20,3,1)="e",Osnovni_podaci!L24=5,Osnovni_podaci!G24=0,MID(Osnovni_podaci!D20,3,1)="e",MID(Osnovni_podaci!D20,8,1)="d"),IF( SUBTOTAL( 9, K21:K34,K36,K38,K59:K63) - SUBTOTAL( 9, K35, K37, K39:K56,K64:K68)  &gt;= 0, 0, ABS( SUBTOTAL( 9, K21:K34,K36,K38,K59:K63) - SUBTOTAL( 9, K35, K37, K39:K56,K64:K68))),A1)</f>
        <v>0</v>
      </c>
      <c r="L70" s="402">
        <f>IF(AND([0]!Godina=2024,MID(Osnovni_podaci!D20,3,1)="e",Osnovni_podaci!L24=5,Osnovni_podaci!G24=0,MID(Osnovni_podaci!D20,3,1)="e",MID(Osnovni_podaci!D20,8,1)="d"),IF(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IF(AND([0]!Godina=2024,MID(Osnovni_podaci!D20,3,1)="e",Osnovni_podaci!L24=5,Osnovni_podaci!G24=0,MID(Osnovni_podaci!D20,3,1)="e",MID(Osnovni_podaci!D20,8,1)="d"),VLOOKUP( $B71, T_Aop[], 5, 1),A1)</f>
        <v>67</v>
      </c>
      <c r="D71" s="708" t="str">
        <f>VLOOKUP( $B71, T_Aop[], 6, 1)</f>
        <v xml:space="preserve">  E. OSTALI DOBICI I GUBICI 
I OSTALI PRIHODI I DOBICI (252 do 260)</v>
      </c>
      <c r="E71" s="709"/>
      <c r="F71" s="709"/>
      <c r="G71" s="709"/>
      <c r="H71" s="710"/>
      <c r="I71" s="179">
        <f>VLOOKUP( $B71, T_Aop[], 4, 1)</f>
        <v>251</v>
      </c>
      <c r="J71" s="450"/>
      <c r="K71" s="64">
        <f>IF(AND([0]!Godina=2024,MID(Osnovni_podaci!D20,3,1)="e",Osnovni_podaci!L24=5,Osnovni_podaci!G24=0,MID(Osnovni_podaci!D20,3,1)="e",MID(Osnovni_podaci!D20,8,1)="d"),SUBTOTAL( 9, K72:K80),A1)</f>
        <v>447327</v>
      </c>
      <c r="L71" s="65">
        <f>IF(AND([0]!Godina=2024,MID(Osnovni_podaci!D20,3,1)="e",Osnovni_podaci!L24=5,Osnovni_podaci!G24=0,MID(Osnovni_podaci!D20,3,1)="e",MID(Osnovni_podaci!D20,8,1)="d"),SUBTOTAL( 9, L72:L80),A1)</f>
        <v>142616</v>
      </c>
      <c r="N71" s="44"/>
      <c r="P71" s="183"/>
    </row>
    <row r="72" spans="2:16" ht="23.25" customHeight="1" x14ac:dyDescent="0.2">
      <c r="B72" s="15">
        <v>190</v>
      </c>
      <c r="C72" s="58" t="str">
        <f>IF(AND([0]!Godina=2024,MID(Osnovni_podaci!D20,3,1)="e",Osnovni_podaci!L24=5,Osnovni_podaci!G24=0,MID(Osnovni_podaci!D20,3,1)="e",MID(Osnovni_podaci!D20,8,1)="d"),VLOOKUP( $B72, T_Aop[], 5, 1),A1)</f>
        <v>670, 570 neto prikaz</v>
      </c>
      <c r="D72" s="699" t="str">
        <f>VLOOKUP( $B72, T_Aop[], 6, 1)</f>
        <v xml:space="preserve">    1. Neto dobici po osnovu prodaje nematerijalnih sredstava, nekretnina, postrojenja i opreme</v>
      </c>
      <c r="E72" s="700"/>
      <c r="F72" s="700"/>
      <c r="G72" s="700"/>
      <c r="H72" s="701"/>
      <c r="I72" s="59">
        <f>VLOOKUP( $B72, T_Aop[], 4, 1)</f>
        <v>252</v>
      </c>
      <c r="J72" s="452"/>
      <c r="K72" s="452"/>
      <c r="L72" s="453">
        <v>5100</v>
      </c>
      <c r="N72" s="44"/>
      <c r="P72" s="183"/>
    </row>
    <row r="73" spans="2:16" ht="23.25" customHeight="1" x14ac:dyDescent="0.2">
      <c r="B73" s="15">
        <v>191</v>
      </c>
      <c r="C73" s="62" t="str">
        <f>IF(AND([0]!Godina=2024,MID(Osnovni_podaci!D20,3,1)="e",Osnovni_podaci!L24=5,Osnovni_podaci!G24=0,MID(Osnovni_podaci!D20,3,1)="e",MID(Osnovni_podaci!D20,8,1)="d"),VLOOKUP( $B73, T_Aop[], 5, 1),A1)</f>
        <v>671, 571 neto prikaz</v>
      </c>
      <c r="D73" s="702" t="str">
        <f>VLOOKUP( $B73, T_Aop[], 6, 1)</f>
        <v xml:space="preserve">    2. Neto dobici po osnovu prodaje investicionih nekretnina</v>
      </c>
      <c r="E73" s="703"/>
      <c r="F73" s="703"/>
      <c r="G73" s="703"/>
      <c r="H73" s="704"/>
      <c r="I73" s="63">
        <f>VLOOKUP( $B73, T_Aop[], 4, 1)</f>
        <v>253</v>
      </c>
      <c r="J73" s="450"/>
      <c r="K73" s="450"/>
      <c r="L73" s="451"/>
      <c r="N73" s="44"/>
      <c r="P73" s="183"/>
    </row>
    <row r="74" spans="2:16" ht="23.25" customHeight="1" x14ac:dyDescent="0.2">
      <c r="B74" s="15">
        <v>192</v>
      </c>
      <c r="C74" s="58" t="str">
        <f>IF(AND([0]!Godina=2024,MID(Osnovni_podaci!D20,3,1)="e",Osnovni_podaci!L24=5,Osnovni_podaci!G24=0,MID(Osnovni_podaci!D20,3,1)="e",MID(Osnovni_podaci!D20,8,1)="d"),VLOOKUP( $B74, T_Aop[], 5, 1),A1)</f>
        <v>672, 572 neto prikaz</v>
      </c>
      <c r="D74" s="699" t="str">
        <f>VLOOKUP( $B74, T_Aop[], 6, 1)</f>
        <v xml:space="preserve">    3. Neto dobici po osnovu prodaje bioloških sredstava</v>
      </c>
      <c r="E74" s="700"/>
      <c r="F74" s="700"/>
      <c r="G74" s="700"/>
      <c r="H74" s="701"/>
      <c r="I74" s="59">
        <f>VLOOKUP( $B74, T_Aop[], 4, 1)</f>
        <v>254</v>
      </c>
      <c r="J74" s="452"/>
      <c r="K74" s="452"/>
      <c r="L74" s="453"/>
      <c r="N74" s="44"/>
      <c r="P74" s="183"/>
    </row>
    <row r="75" spans="2:16" ht="23.25" customHeight="1" x14ac:dyDescent="0.2">
      <c r="B75" s="15">
        <v>193</v>
      </c>
      <c r="C75" s="62" t="str">
        <f>IF(AND([0]!Godina=2024,MID(Osnovni_podaci!D20,3,1)="e",Osnovni_podaci!L24=5,Osnovni_podaci!G24=0,MID(Osnovni_podaci!D20,3,1)="e",MID(Osnovni_podaci!D20,8,1)="d"),VLOOKUP( $B75, T_Aop[], 5, 1),A1)</f>
        <v>673, 573, neto prikaz</v>
      </c>
      <c r="D75" s="702" t="str">
        <f>VLOOKUP( $B75, T_Aop[], 6, 1)</f>
        <v xml:space="preserve">    4. Neto dobici po osnovu prodaje stalnih sredstava namijenjenih prodaji i sredstava poslovanja koje se obustavlja</v>
      </c>
      <c r="E75" s="703"/>
      <c r="F75" s="703"/>
      <c r="G75" s="703"/>
      <c r="H75" s="704"/>
      <c r="I75" s="63">
        <f>VLOOKUP( $B75, T_Aop[], 4, 1)</f>
        <v>255</v>
      </c>
      <c r="J75" s="450"/>
      <c r="K75" s="450"/>
      <c r="L75" s="451"/>
      <c r="N75" s="44"/>
      <c r="P75" s="183"/>
    </row>
    <row r="76" spans="2:16" ht="23.25" customHeight="1" x14ac:dyDescent="0.2">
      <c r="B76" s="15">
        <v>194</v>
      </c>
      <c r="C76" s="58" t="str">
        <f>IF(AND([0]!Godina=2024,MID(Osnovni_podaci!D20,3,1)="e",Osnovni_podaci!L24=5,Osnovni_podaci!G24=0,MID(Osnovni_podaci!D20,3,1)="e",MID(Osnovni_podaci!D20,8,1)="d"),VLOOKUP( $B76, T_Aop[], 5, 1),A1)</f>
        <v>674, 574 neto prikaz</v>
      </c>
      <c r="D76" s="699" t="str">
        <f>VLOOKUP( $B76, T_Aop[], 6, 1)</f>
        <v xml:space="preserve">    5. Neto dobici po osnovu prodaje finansijskih sredstava i ulaganja u povezana lica</v>
      </c>
      <c r="E76" s="700"/>
      <c r="F76" s="700"/>
      <c r="G76" s="700"/>
      <c r="H76" s="701"/>
      <c r="I76" s="59">
        <f>VLOOKUP( $B76, T_Aop[], 4, 1)</f>
        <v>256</v>
      </c>
      <c r="J76" s="452"/>
      <c r="K76" s="452"/>
      <c r="L76" s="453"/>
      <c r="N76" s="44"/>
      <c r="P76" s="183"/>
    </row>
    <row r="77" spans="2:16" ht="23.25" customHeight="1" x14ac:dyDescent="0.2">
      <c r="B77" s="15">
        <v>195</v>
      </c>
      <c r="C77" s="62" t="str">
        <f>IF(AND([0]!Godina=2024,MID(Osnovni_podaci!D20,3,1)="e",Osnovni_podaci!L24=5,Osnovni_podaci!G24=0,MID(Osnovni_podaci!D20,3,1)="e",MID(Osnovni_podaci!D20,8,1)="d"),VLOOKUP( $B77, T_Aop[], 5, 1),A1)</f>
        <v>675, 575 neto prikaz</v>
      </c>
      <c r="D77" s="702" t="str">
        <f>VLOOKUP( $B77, T_Aop[], 6, 1)</f>
        <v xml:space="preserve">    6. Neto dobici po osnovu prodaje materijala</v>
      </c>
      <c r="E77" s="703"/>
      <c r="F77" s="703"/>
      <c r="G77" s="703"/>
      <c r="H77" s="704"/>
      <c r="I77" s="63">
        <f>VLOOKUP( $B77, T_Aop[], 4, 1)</f>
        <v>257</v>
      </c>
      <c r="J77" s="450"/>
      <c r="K77" s="450"/>
      <c r="L77" s="451"/>
      <c r="N77" s="44"/>
      <c r="P77" s="183"/>
    </row>
    <row r="78" spans="2:16" ht="13.5" customHeight="1" x14ac:dyDescent="0.2">
      <c r="B78" s="15">
        <v>196</v>
      </c>
      <c r="C78" s="58" t="str">
        <f>IF(AND([0]!Godina=2024,MID(Osnovni_podaci!D20,3,1)="e",Osnovni_podaci!L24=5,Osnovni_podaci!G24=0,MID(Osnovni_podaci!D20,3,1)="e",MID(Osnovni_podaci!D20,8,1)="d"),VLOOKUP( $B78, T_Aop[], 5, 1),A1)</f>
        <v>676</v>
      </c>
      <c r="D78" s="699" t="str">
        <f>VLOOKUP( $B78, T_Aop[], 6, 1)</f>
        <v xml:space="preserve">    7. Viškovi</v>
      </c>
      <c r="E78" s="700"/>
      <c r="F78" s="700"/>
      <c r="G78" s="700"/>
      <c r="H78" s="701"/>
      <c r="I78" s="59">
        <f>VLOOKUP( $B78, T_Aop[], 4, 1)</f>
        <v>258</v>
      </c>
      <c r="J78" s="452"/>
      <c r="K78" s="452">
        <v>105</v>
      </c>
      <c r="L78" s="453">
        <v>275</v>
      </c>
      <c r="N78" s="44"/>
      <c r="P78" s="184" t="s">
        <v>313</v>
      </c>
    </row>
    <row r="79" spans="2:16" ht="13.5" customHeight="1" x14ac:dyDescent="0.2">
      <c r="B79" s="15">
        <v>197</v>
      </c>
      <c r="C79" s="62" t="str">
        <f>IF(AND([0]!Godina=2024,MID(Osnovni_podaci!D20,3,1)="e",Osnovni_podaci!L24=5,Osnovni_podaci!G24=0,MID(Osnovni_podaci!D20,3,1)="e",MID(Osnovni_podaci!D20,8,1)="d"),VLOOKUP( $B79, T_Aop[], 5, 1),A1)</f>
        <v>677, 679</v>
      </c>
      <c r="D79" s="702" t="str">
        <f>VLOOKUP( $B79, T_Aop[], 6, 1)</f>
        <v xml:space="preserve">    8. Ostali prihodi i dobici </v>
      </c>
      <c r="E79" s="703"/>
      <c r="F79" s="703"/>
      <c r="G79" s="703"/>
      <c r="H79" s="704"/>
      <c r="I79" s="63">
        <f>VLOOKUP( $B79, T_Aop[], 4, 1)</f>
        <v>259</v>
      </c>
      <c r="J79" s="450"/>
      <c r="K79" s="450">
        <f>445064+2158</f>
        <v>447222</v>
      </c>
      <c r="L79" s="451">
        <v>137241</v>
      </c>
      <c r="N79" s="44"/>
      <c r="P79" s="184" t="s">
        <v>313</v>
      </c>
    </row>
    <row r="80" spans="2:16" ht="13.5" customHeight="1" x14ac:dyDescent="0.2">
      <c r="B80" s="15">
        <v>198</v>
      </c>
      <c r="C80" s="58" t="str">
        <f>IF(AND([0]!Godina=2024,MID(Osnovni_podaci!D20,3,1)="e",Osnovni_podaci!L24=5,Osnovni_podaci!G24=0,MID(Osnovni_podaci!D20,3,1)="e",MID(Osnovni_podaci!D20,8,1)="d"),VLOOKUP( $B80, T_Aop[], 5, 1),A1)</f>
        <v>678, 577</v>
      </c>
      <c r="D80" s="699" t="str">
        <f>VLOOKUP( $B80, T_Aop[], 6, 1)</f>
        <v xml:space="preserve">    9.  Neto dobici od derivatnih finansijskih instrumenata </v>
      </c>
      <c r="E80" s="700"/>
      <c r="F80" s="700"/>
      <c r="G80" s="700"/>
      <c r="H80" s="701"/>
      <c r="I80" s="59">
        <f>VLOOKUP( $B80, T_Aop[], 4, 1)</f>
        <v>260</v>
      </c>
      <c r="J80" s="452"/>
      <c r="K80" s="452"/>
      <c r="L80" s="453"/>
      <c r="N80" s="44"/>
      <c r="P80" s="183"/>
    </row>
    <row r="81" spans="2:16" ht="15.75" customHeight="1" x14ac:dyDescent="0.2">
      <c r="B81" s="15">
        <v>199</v>
      </c>
      <c r="C81" s="62" t="str">
        <f>IF(AND([0]!Godina=2024,MID(Osnovni_podaci!D20,3,1)="e",Osnovni_podaci!L24=5,Osnovni_podaci!G24=0,MID(Osnovni_podaci!D20,3,1)="e",MID(Osnovni_podaci!D20,8,1)="d"),VLOOKUP( $B81, T_Aop[], 5, 1),A1)</f>
        <v>57</v>
      </c>
      <c r="D81" s="708" t="str">
        <f>VLOOKUP( $B81, T_Aop[], 6, 1)</f>
        <v xml:space="preserve">  II  OSTALI RASHODI I GUBICI (262 do 270)</v>
      </c>
      <c r="E81" s="709"/>
      <c r="F81" s="709"/>
      <c r="G81" s="709"/>
      <c r="H81" s="710"/>
      <c r="I81" s="179">
        <f>VLOOKUP( $B81, T_Aop[], 4, 1)</f>
        <v>261</v>
      </c>
      <c r="J81" s="450"/>
      <c r="K81" s="64">
        <f>IF(AND([0]!Godina=2024,MID(Osnovni_podaci!D20,3,1)="e",Osnovni_podaci!L24=5,Osnovni_podaci!G24=0,MID(Osnovni_podaci!D20,3,1)="e",MID(Osnovni_podaci!D20,8,1)="d"),SUBTOTAL( 9, K82:K90),A1)</f>
        <v>157807</v>
      </c>
      <c r="L81" s="65">
        <f>IF(AND([0]!Godina=2024,MID(Osnovni_podaci!D20,3,1)="e",Osnovni_podaci!L24=5,Osnovni_podaci!G24=0,MID(Osnovni_podaci!D20,3,1)="e",MID(Osnovni_podaci!D20,8,1)="d"),SUBTOTAL( 9, L82:L90),A1)</f>
        <v>37220</v>
      </c>
      <c r="N81" s="44"/>
      <c r="P81" s="183"/>
    </row>
    <row r="82" spans="2:16" ht="22.5" customHeight="1" x14ac:dyDescent="0.2">
      <c r="B82" s="15">
        <v>200</v>
      </c>
      <c r="C82" s="58" t="str">
        <f>IF(AND([0]!Godina=2024,MID(Osnovni_podaci!D20,3,1)="e",Osnovni_podaci!L24=5,Osnovni_podaci!G24=0,MID(Osnovni_podaci!D20,3,1)="e",MID(Osnovni_podaci!D20,8,1)="d"),VLOOKUP( $B82, T_Aop[], 5, 1),A1)</f>
        <v>570, 670 neto prikaz</v>
      </c>
      <c r="D82" s="699" t="str">
        <f>VLOOKUP( $B82, T_Aop[], 6, 1)</f>
        <v xml:space="preserve">    1. Neto gubici po osnovu otuđenja nematerijalnih sredstava, nekretnina, postrojenja i opreme</v>
      </c>
      <c r="E82" s="700"/>
      <c r="F82" s="700"/>
      <c r="G82" s="700"/>
      <c r="H82" s="701"/>
      <c r="I82" s="59">
        <f>VLOOKUP( $B82, T_Aop[], 4, 1)</f>
        <v>262</v>
      </c>
      <c r="J82" s="452"/>
      <c r="K82" s="452">
        <v>89126</v>
      </c>
      <c r="L82" s="453"/>
      <c r="N82" s="44"/>
      <c r="P82" s="183"/>
    </row>
    <row r="83" spans="2:16" ht="22.5" customHeight="1" x14ac:dyDescent="0.2">
      <c r="B83" s="15">
        <v>201</v>
      </c>
      <c r="C83" s="62" t="str">
        <f>IF(AND([0]!Godina=2024,MID(Osnovni_podaci!D20,3,1)="e",Osnovni_podaci!L24=5,Osnovni_podaci!G24=0,MID(Osnovni_podaci!D20,3,1)="e",MID(Osnovni_podaci!D20,8,1)="d"),VLOOKUP( $B83, T_Aop[], 5, 1),A1)</f>
        <v>571, 671 neto prikaz</v>
      </c>
      <c r="D83" s="702" t="str">
        <f>VLOOKUP( $B83, T_Aop[], 6, 1)</f>
        <v xml:space="preserve">    2. Neto gubici po osnovu otuđenja investicionih nekretnina</v>
      </c>
      <c r="E83" s="703"/>
      <c r="F83" s="703"/>
      <c r="G83" s="703"/>
      <c r="H83" s="704"/>
      <c r="I83" s="63">
        <f>VLOOKUP( $B83, T_Aop[], 4, 1)</f>
        <v>263</v>
      </c>
      <c r="J83" s="450"/>
      <c r="K83" s="450"/>
      <c r="L83" s="451"/>
      <c r="N83" s="44"/>
      <c r="P83" s="183"/>
    </row>
    <row r="84" spans="2:16" ht="22.5" customHeight="1" x14ac:dyDescent="0.2">
      <c r="B84" s="15">
        <v>202</v>
      </c>
      <c r="C84" s="58" t="str">
        <f>IF(AND([0]!Godina=2024,MID(Osnovni_podaci!D20,3,1)="e",Osnovni_podaci!L24=5,Osnovni_podaci!G24=0,MID(Osnovni_podaci!D20,3,1)="e",MID(Osnovni_podaci!D20,8,1)="d"),VLOOKUP( $B84, T_Aop[], 5, 1),A1)</f>
        <v>572, 672 neto prikaz</v>
      </c>
      <c r="D84" s="699" t="str">
        <f>VLOOKUP( $B84, T_Aop[], 6, 1)</f>
        <v xml:space="preserve">    3. Neto gubici po osnovu otuđenja bioloških sredstava</v>
      </c>
      <c r="E84" s="700"/>
      <c r="F84" s="700"/>
      <c r="G84" s="700"/>
      <c r="H84" s="701"/>
      <c r="I84" s="59">
        <f>VLOOKUP( $B84, T_Aop[], 4, 1)</f>
        <v>264</v>
      </c>
      <c r="J84" s="452"/>
      <c r="K84" s="452"/>
      <c r="L84" s="453"/>
      <c r="N84" s="44"/>
      <c r="P84" s="183"/>
    </row>
    <row r="85" spans="2:16" ht="22.5" customHeight="1" x14ac:dyDescent="0.2">
      <c r="B85" s="15">
        <v>203</v>
      </c>
      <c r="C85" s="62" t="str">
        <f>IF(AND([0]!Godina=2024,MID(Osnovni_podaci!D20,3,1)="e",Osnovni_podaci!L24=5,Osnovni_podaci!G24=0,MID(Osnovni_podaci!D20,3,1)="e",MID(Osnovni_podaci!D20,8,1)="d"),VLOOKUP( $B85, T_Aop[], 5, 1),A1)</f>
        <v>573, 673, neto prikaz</v>
      </c>
      <c r="D85" s="702" t="str">
        <f>VLOOKUP( $B85, T_Aop[], 6, 1)</f>
        <v xml:space="preserve">    4. Neto gubici po osnovu otuđenja stalnih sredstava namijenjenih prodaji i sredstava poslovanja koje se obustavlja</v>
      </c>
      <c r="E85" s="703"/>
      <c r="F85" s="703"/>
      <c r="G85" s="703"/>
      <c r="H85" s="704"/>
      <c r="I85" s="63">
        <f>VLOOKUP( $B85, T_Aop[], 4, 1)</f>
        <v>265</v>
      </c>
      <c r="J85" s="450"/>
      <c r="K85" s="450"/>
      <c r="L85" s="451"/>
      <c r="N85" s="44"/>
      <c r="P85" s="183"/>
    </row>
    <row r="86" spans="2:16" ht="22.5" customHeight="1" x14ac:dyDescent="0.2">
      <c r="B86" s="15">
        <v>204</v>
      </c>
      <c r="C86" s="58" t="str">
        <f>IF(AND([0]!Godina=2024,MID(Osnovni_podaci!D20,3,1)="e",Osnovni_podaci!L24=5,Osnovni_podaci!G24=0,MID(Osnovni_podaci!D20,3,1)="e",MID(Osnovni_podaci!D20,8,1)="d"),VLOOKUP( $B86, T_Aop[], 5, 1),A1)</f>
        <v>574, 674 neto prikaz</v>
      </c>
      <c r="D86" s="699" t="str">
        <f>VLOOKUP( $B86, T_Aop[], 6, 1)</f>
        <v xml:space="preserve">    5. Neto gubici od otuđenja finansijskih sredstava i ulaganja u povezana lica</v>
      </c>
      <c r="E86" s="700"/>
      <c r="F86" s="700"/>
      <c r="G86" s="700"/>
      <c r="H86" s="701"/>
      <c r="I86" s="59">
        <f>VLOOKUP( $B86, T_Aop[], 4, 1)</f>
        <v>266</v>
      </c>
      <c r="J86" s="452"/>
      <c r="K86" s="452"/>
      <c r="L86" s="453"/>
      <c r="N86" s="44"/>
      <c r="P86" s="183"/>
    </row>
    <row r="87" spans="2:16" ht="22.5" customHeight="1" x14ac:dyDescent="0.2">
      <c r="B87" s="15">
        <v>205</v>
      </c>
      <c r="C87" s="62" t="str">
        <f>IF(AND([0]!Godina=2024,MID(Osnovni_podaci!D20,3,1)="e",Osnovni_podaci!L24=5,Osnovni_podaci!G24=0,MID(Osnovni_podaci!D20,3,1)="e",MID(Osnovni_podaci!D20,8,1)="d"),VLOOKUP( $B87, T_Aop[], 5, 1),A1)</f>
        <v xml:space="preserve">575, 675 neto prikaz </v>
      </c>
      <c r="D87" s="702" t="str">
        <f>VLOOKUP( $B87, T_Aop[], 6, 1)</f>
        <v xml:space="preserve">    6. Neto gubici po osnovu prodaje materijala</v>
      </c>
      <c r="E87" s="703"/>
      <c r="F87" s="703"/>
      <c r="G87" s="703"/>
      <c r="H87" s="704"/>
      <c r="I87" s="63">
        <f>VLOOKUP( $B87, T_Aop[], 4, 1)</f>
        <v>267</v>
      </c>
      <c r="J87" s="450"/>
      <c r="K87" s="450"/>
      <c r="L87" s="451"/>
      <c r="N87" s="44"/>
      <c r="P87" s="183"/>
    </row>
    <row r="88" spans="2:16" ht="14.25" customHeight="1" x14ac:dyDescent="0.2">
      <c r="B88" s="15">
        <v>206</v>
      </c>
      <c r="C88" s="58" t="str">
        <f>IF(AND([0]!Godina=2024,MID(Osnovni_podaci!D20,3,1)="e",Osnovni_podaci!L24=5,Osnovni_podaci!G24=0,MID(Osnovni_podaci!D20,3,1)="e",MID(Osnovni_podaci!D20,8,1)="d"),VLOOKUP( $B88, T_Aop[], 5, 1),A1)</f>
        <v>576</v>
      </c>
      <c r="D88" s="699" t="str">
        <f>VLOOKUP( $B88, T_Aop[], 6, 1)</f>
        <v xml:space="preserve">    7.  Manjkovi</v>
      </c>
      <c r="E88" s="700"/>
      <c r="F88" s="700"/>
      <c r="G88" s="700"/>
      <c r="H88" s="701"/>
      <c r="I88" s="59">
        <f>VLOOKUP( $B88, T_Aop[], 4, 1)</f>
        <v>268</v>
      </c>
      <c r="J88" s="452"/>
      <c r="K88" s="452"/>
      <c r="L88" s="453"/>
      <c r="N88" s="44"/>
      <c r="P88" s="184" t="s">
        <v>313</v>
      </c>
    </row>
    <row r="89" spans="2:16" ht="22.5" customHeight="1" x14ac:dyDescent="0.2">
      <c r="B89" s="15">
        <v>207</v>
      </c>
      <c r="C89" s="62" t="str">
        <f>IF(AND([0]!Godina=2024,MID(Osnovni_podaci!D20,3,1)="e",Osnovni_podaci!L24=5,Osnovni_podaci!G24=0,MID(Osnovni_podaci!D20,3,1)="e",MID(Osnovni_podaci!D20,8,1)="d"),VLOOKUP( $B89, T_Aop[], 5, 1),A1)</f>
        <v>577, 678 neto prikaz</v>
      </c>
      <c r="D89" s="702" t="str">
        <f>IF(AND([0]!Godina=2024,MID(Osnovni_podaci!D20,3,1)="e",Osnovni_podaci!L24=5,Osnovni_podaci!G24=0,MID(Osnovni_podaci!D20,3,1)="e",MID(Osnovni_podaci!D20,8,1)="d"),VLOOKUP( $B89, T_Aop[], 6, 1),A1)</f>
        <v xml:space="preserve">    8. Neto gubici od derivatnih finansijskih instrumenata</v>
      </c>
      <c r="E89" s="703"/>
      <c r="F89" s="703"/>
      <c r="G89" s="703"/>
      <c r="H89" s="704"/>
      <c r="I89" s="63">
        <f>VLOOKUP( $B89, T_Aop[], 4, 1)</f>
        <v>269</v>
      </c>
      <c r="J89" s="450"/>
      <c r="K89" s="450"/>
      <c r="L89" s="451"/>
      <c r="N89" s="44"/>
      <c r="P89" s="183"/>
    </row>
    <row r="90" spans="2:16" ht="14.25" customHeight="1" x14ac:dyDescent="0.2">
      <c r="B90" s="15">
        <v>208</v>
      </c>
      <c r="C90" s="58" t="str">
        <f>IF(AND([0]!Godina=2024,MID(Osnovni_podaci!D20,3,1)="e",Osnovni_podaci!L24=5,Osnovni_podaci!G24=0,MID(Osnovni_podaci!D20,3,1)="e",MID(Osnovni_podaci!D20,8,1)="d"),VLOOKUP( $B90, T_Aop[], 5, 1),A1)</f>
        <v>578, 579</v>
      </c>
      <c r="D90" s="699" t="str">
        <f>IF(AND([0]!Godina=2024,MID(Osnovni_podaci!D20,3,1)="e",Osnovni_podaci!L24=5,Osnovni_podaci!G24=0,MID(Osnovni_podaci!D20,3,1)="e",MID(Osnovni_podaci!D20,8,1)="d"),VLOOKUP( $B90, T_Aop[], 6, 1),A1)</f>
        <v xml:space="preserve">    9. Ostali rashodi i gubici</v>
      </c>
      <c r="E90" s="700"/>
      <c r="F90" s="700"/>
      <c r="G90" s="700"/>
      <c r="H90" s="701"/>
      <c r="I90" s="59">
        <f>VLOOKUP( $B90, T_Aop[], 4, 1)</f>
        <v>270</v>
      </c>
      <c r="J90" s="452"/>
      <c r="K90" s="452">
        <f>57681+11000</f>
        <v>68681</v>
      </c>
      <c r="L90" s="453">
        <v>37220</v>
      </c>
      <c r="N90" s="44"/>
      <c r="P90" s="183"/>
    </row>
    <row r="91" spans="2:16" ht="12.75" customHeight="1" x14ac:dyDescent="0.2">
      <c r="B91" s="15">
        <v>209</v>
      </c>
      <c r="C91" s="188">
        <f>IF(AND([0]!Godina=2024,MID(Osnovni_podaci!D20,3,1)="e",Osnovni_podaci!L24=5,Osnovni_podaci!G24=0,MID(Osnovni_podaci!D20,3,1)="e",MID(Osnovni_podaci!D20,8,1)="d"),VLOOKUP( $B91, T_Aop[], 5, 1),A1)</f>
        <v>0</v>
      </c>
      <c r="D91" s="708" t="str">
        <f>IF(AND([0]!Godina=2024,MID(Osnovni_podaci!D20,3,1)="e",Osnovni_podaci!L24=5,Osnovni_podaci!G24=0,MID(Osnovni_podaci!D20,3,1)="e",MID(Osnovni_podaci!D20,8,1)="d"),VLOOKUP( $B91, T_Aop[], 6, 1),A1)</f>
        <v xml:space="preserve">  Ž. DOBITAK PO OSNOVU OSTALIH PRIHODA I RASHODA (251 – 261)</v>
      </c>
      <c r="E91" s="709"/>
      <c r="F91" s="709"/>
      <c r="G91" s="709"/>
      <c r="H91" s="710"/>
      <c r="I91" s="179">
        <f>VLOOKUP( $B91, T_Aop[], 4, 1)</f>
        <v>271</v>
      </c>
      <c r="J91" s="450"/>
      <c r="K91" s="67">
        <f>IF(AND([0]!Godina=2024,MID(Osnovni_podaci!D20,3,1)="e",Osnovni_podaci!L24=5,Osnovni_podaci!G24=0,MID(Osnovni_podaci!D20,3,1)="e",MID(Osnovni_podaci!D20,8,1)="d"),IF( SUBTOTAL( 9, K71:K80) - SUBTOTAL( 9, K81:K90) &lt;= 0, 0, ABS( SUBTOTAL( 9, K71:K80) - SUBTOTAL( 9, K81:K90)) ),A1)</f>
        <v>289520</v>
      </c>
      <c r="L91" s="475">
        <f>IF(AND([0]!Godina=2024,MID(Osnovni_podaci!D20,3,1)="e",Osnovni_podaci!L24=5,Osnovni_podaci!G24=0,MID(Osnovni_podaci!D20,3,1)="e",MID(Osnovni_podaci!D20,8,1)="d"),IF( SUBTOTAL( 9, L71:L80) - SUBTOTAL( 9, L81:L90) &lt;= 0, 0, ABS( SUBTOTAL( 9, L71:L80) - SUBTOTAL( 9, L81:L90)) ),A1)</f>
        <v>105396</v>
      </c>
      <c r="N91" s="44"/>
      <c r="P91" s="183"/>
    </row>
    <row r="92" spans="2:16" x14ac:dyDescent="0.2">
      <c r="B92" s="15">
        <v>210</v>
      </c>
      <c r="C92" s="187">
        <f>IF(AND([0]!Godina=2024,MID(Osnovni_podaci!D20,3,1)="e",Osnovni_podaci!L24=5,Osnovni_podaci!G24=0,MID(Osnovni_podaci!D20,3,1)="e",MID(Osnovni_podaci!D20,8,1)="d"),VLOOKUP( $B92, T_Aop[], 5, 1),A1)</f>
        <v>0</v>
      </c>
      <c r="D92" s="705" t="str">
        <f>IF(AND([0]!Godina=2024,MID(Osnovni_podaci!D20,3,1)="e",Osnovni_podaci!L24=5,Osnovni_podaci!G24=0,MID(Osnovni_podaci!D20,3,1)="e",MID(Osnovni_podaci!D20,8,1)="d"),VLOOKUP( $B92, T_Aop[], 6, 1),A1)</f>
        <v xml:space="preserve">  Z. GUBITAK PO OSNOVU OSTALIH PRIHODA I RASHODA (261 – 251)</v>
      </c>
      <c r="E92" s="706"/>
      <c r="F92" s="706"/>
      <c r="G92" s="706"/>
      <c r="H92" s="707"/>
      <c r="I92" s="178">
        <f>VLOOKUP( $B92, T_Aop[], 4, 1)</f>
        <v>272</v>
      </c>
      <c r="J92" s="452"/>
      <c r="K92" s="253">
        <f>IF(AND([0]!Godina=2024,MID(Osnovni_podaci!D20,3,1)="e",Osnovni_podaci!L24=5,Osnovni_podaci!G24=0,MID(Osnovni_podaci!D20,3,1)="e",MID(Osnovni_podaci!D20,8,1)="d"),IF( SUBTOTAL( 9, K71:K80) - SUBTOTAL( 9, K81:K90) &gt;= 0, 0, ABS( SUBTOTAL( 9, K71:K80) - SUBTOTAL( 9, K81:K90)) ),A1)</f>
        <v>0</v>
      </c>
      <c r="L92" s="476">
        <f>IF(AND([0]!Godina=2024,MID(Osnovni_podaci!D20,3,1)="e",Osnovni_podaci!L24=5,Osnovni_podaci!G24=0,MID(Osnovni_podaci!D20,3,1)="e",MID(Osnovni_podaci!D20,8,1)="d"),IF( SUBTOTAL( 9, L71:L80) - SUBTOTAL( 9, L81:L90) &gt;= 0, 0, ABS( SUBTOTAL( 9, L71:L80) - SUBTOTAL( 9, L81:L90)) ),A1)</f>
        <v>0</v>
      </c>
      <c r="N92" s="44"/>
      <c r="P92" s="183"/>
    </row>
    <row r="93" spans="2:16" ht="23.25" customHeight="1" x14ac:dyDescent="0.2">
      <c r="B93" s="15">
        <v>211</v>
      </c>
      <c r="C93" s="188" t="str">
        <f>IF(AND([0]!Godina=2024,MID(Osnovni_podaci!D20,3,1)="e",Osnovni_podaci!L24=5,Osnovni_podaci!G24=0,MID(Osnovni_podaci!D20,3,1)="e",MID(Osnovni_podaci!D20,8,1)="d"),VLOOKUP( $B93, T_Aop[], 5, 1),A1)</f>
        <v>68</v>
      </c>
      <c r="D93" s="708" t="str">
        <f>IF(AND([0]!Godina=2024,MID(Osnovni_podaci!D20,3,1)="e",Osnovni_podaci!L24=5,Osnovni_podaci!G24=0,MID(Osnovni_podaci!D20,3,1)="e",MID(Osnovni_podaci!D20,8,1)="d"),VLOOKUP( $B93, T_Aop[], 6, 1),A1)</f>
        <v xml:space="preserve">  I. PRIHODI I RASHODI OD USKLAĐIVANJA VRIJEDNOSTI IMOVINE 
I   PRIHODI OD USKLAĐIVANJA VRIJEDNOSTI IMOVINE (274 + 281)</v>
      </c>
      <c r="E93" s="709"/>
      <c r="F93" s="709"/>
      <c r="G93" s="709"/>
      <c r="H93" s="710"/>
      <c r="I93" s="179">
        <f>VLOOKUP( $B93, T_Aop[], 4, 1)</f>
        <v>273</v>
      </c>
      <c r="J93" s="450"/>
      <c r="K93" s="67">
        <f>IF(AND([0]!Godina=2024,MID(Osnovni_podaci!D20,3,1)="e",Osnovni_podaci!L24=5,Osnovni_podaci!G24=0,MID(Osnovni_podaci!D20,3,1)="e",MID(Osnovni_podaci!D20,8,1)="d"),SUBTOTAL( 9, K94:K105),A1)</f>
        <v>0</v>
      </c>
      <c r="L93" s="475">
        <f>IF(AND([0]!Godina=2024,MID(Osnovni_podaci!D20,3,1)="e",Osnovni_podaci!L24=5,Osnovni_podaci!G24=0,MID(Osnovni_podaci!D20,3,1)="e",MID(Osnovni_podaci!D20,8,1)="d"),SUBTOTAL( 9, L94:L105),A1)</f>
        <v>18</v>
      </c>
      <c r="N93" s="44"/>
      <c r="P93" s="183"/>
    </row>
    <row r="94" spans="2:16" ht="13.5" customHeight="1" x14ac:dyDescent="0.2">
      <c r="B94" s="15">
        <v>212</v>
      </c>
      <c r="C94" s="58" t="str">
        <f>IF(AND([0]!Godina=2024,MID(Osnovni_podaci!D20,3,1)="e",Osnovni_podaci!L24=5,Osnovni_podaci!G24=0,MID(Osnovni_podaci!D20,3,1)="e",MID(Osnovni_podaci!D20,8,1)="d"),VLOOKUP( $B94, T_Aop[], 5, 1),A1)</f>
        <v>dio 68</v>
      </c>
      <c r="D94" s="699" t="str">
        <f>IF(AND([0]!Godina=2024,MID(Osnovni_podaci!D20,3,1)="e",Osnovni_podaci!L24=5,Osnovni_podaci!G24=0,MID(Osnovni_podaci!D20,3,1)="e",MID(Osnovni_podaci!D20,8,1)="d"),VLOOKUP( $B94, T_Aop[], 6, 1),A1)</f>
        <v xml:space="preserve">    1. Neto dobici od usklađivanja imovine (osim finansijske)  (275 do 280)</v>
      </c>
      <c r="E94" s="700"/>
      <c r="F94" s="700"/>
      <c r="G94" s="700"/>
      <c r="H94" s="701"/>
      <c r="I94" s="59">
        <f>VLOOKUP( $B94, T_Aop[], 4, 1)</f>
        <v>274</v>
      </c>
      <c r="J94" s="452"/>
      <c r="K94" s="153">
        <f>IF(AND([0]!Godina=2024,MID(Osnovni_podaci!D20,3,1)="e",Osnovni_podaci!L24=5,Osnovni_podaci!G24=0,MID(Osnovni_podaci!D20,3,1)="e",MID(Osnovni_podaci!D20,8,1)="d"),SUBTOTAL( 9, K95:K100),A1)</f>
        <v>0</v>
      </c>
      <c r="L94" s="487">
        <f>IF(AND([0]!Godina=2024,MID(Osnovni_podaci!D20,3,1)="e",Osnovni_podaci!L24=5,Osnovni_podaci!G24=0,MID(Osnovni_podaci!D20,3,1)="e",MID(Osnovni_podaci!D20,8,1)="d"),SUBTOTAL( 9, L95:L100),A1)</f>
        <v>18</v>
      </c>
      <c r="N94" s="44"/>
      <c r="P94" s="183"/>
    </row>
    <row r="95" spans="2:16" s="437" customFormat="1" ht="22.5" customHeight="1" x14ac:dyDescent="0.2">
      <c r="B95" s="436">
        <v>213</v>
      </c>
      <c r="C95" s="62" t="str">
        <f>IF(AND([0]!Godina=2024,MID(Osnovni_podaci!D20,3,1)="e",Osnovni_podaci!L24=5,Osnovni_podaci!G24=0,MID(Osnovni_podaci!D20,3,1)="e",MID(Osnovni_podaci!D20,8,1)="d"),VLOOKUP( $B95, T_Aop[], 5, 1),A1)</f>
        <v>680, 580 neto prikaz</v>
      </c>
      <c r="D95" s="702" t="str">
        <f>IF(AND([0]!Godina=2024,MID(Osnovni_podaci!D20,3,1)="e",Osnovni_podaci!L24=5,Osnovni_podaci!G24=0,MID(Osnovni_podaci!D20,3,1)="e",MID(Osnovni_podaci!D20,8,1)="d"),VLOOKUP( $B95, T_Aop[], 6, 1),A1)</f>
        <v xml:space="preserve">      1.1. Neto dobici od umanjenja ranije priznatih gubitaka usljed obezvređenja nematerijalnih sredstava</v>
      </c>
      <c r="E95" s="703"/>
      <c r="F95" s="703"/>
      <c r="G95" s="703"/>
      <c r="H95" s="704"/>
      <c r="I95" s="63">
        <f>VLOOKUP( $B95, T_Aop[], 4, 1)</f>
        <v>275</v>
      </c>
      <c r="J95" s="450"/>
      <c r="K95" s="450"/>
      <c r="L95" s="451"/>
      <c r="N95" s="438"/>
      <c r="P95" s="439"/>
    </row>
    <row r="96" spans="2:16" s="437" customFormat="1" ht="22.5" customHeight="1" x14ac:dyDescent="0.2">
      <c r="B96" s="436">
        <v>214</v>
      </c>
      <c r="C96" s="58" t="str">
        <f>IF(AND([0]!Godina=2024,MID(Osnovni_podaci!D20,3,1)="e",Osnovni_podaci!L24=5,Osnovni_podaci!G24=0,MID(Osnovni_podaci!D20,3,1)="e",MID(Osnovni_podaci!D20,8,1)="d"),VLOOKUP( $B96, T_Aop[], 5, 1),A1)</f>
        <v>681, 581 neto prikaz</v>
      </c>
      <c r="D96" s="699" t="str">
        <f>IF(AND([0]!Godina=2024,MID(Osnovni_podaci!D20,3,1)="e",Osnovni_podaci!L24=5,Osnovni_podaci!G24=0,MID(Osnovni_podaci!D20,3,1)="e",MID(Osnovni_podaci!D20,8,1)="d"),VLOOKUP( $B96, T_Aop[], 6, 1),A1)</f>
        <v xml:space="preserve">      1.2. Neto dobici od umanjenja ranije priznatih gubitaka usljed obezvređenja nekretnina, postrojenja i opreme</v>
      </c>
      <c r="E96" s="700"/>
      <c r="F96" s="700"/>
      <c r="G96" s="700"/>
      <c r="H96" s="701"/>
      <c r="I96" s="59">
        <f>VLOOKUP( $B96, T_Aop[], 4, 1)</f>
        <v>276</v>
      </c>
      <c r="J96" s="452"/>
      <c r="K96" s="452"/>
      <c r="L96" s="453"/>
      <c r="N96" s="438"/>
      <c r="P96" s="439"/>
    </row>
    <row r="97" spans="2:16" s="437" customFormat="1" ht="22.5" customHeight="1" x14ac:dyDescent="0.2">
      <c r="B97" s="436">
        <v>215</v>
      </c>
      <c r="C97" s="62" t="str">
        <f>IF(AND([0]!Godina=2024,MID(Osnovni_podaci!D20,3,1)="e",Osnovni_podaci!L24=5,Osnovni_podaci!G24=0,MID(Osnovni_podaci!D20,3,1)="e",MID(Osnovni_podaci!D20,8,1)="d"),VLOOKUP( $B97, T_Aop[], 5, 1),A1)</f>
        <v>682, 582 neto prikaz</v>
      </c>
      <c r="D97" s="702" t="str">
        <f>IF(AND([0]!Godina=2024,MID(Osnovni_podaci!D20,3,1)="e",Osnovni_podaci!L24=5,Osnovni_podaci!G24=0,MID(Osnovni_podaci!D20,3,1)="e",MID(Osnovni_podaci!D20,8,1)="d"),VLOOKUP( $B97, T_Aop[], 6, 1),A1)</f>
        <v xml:space="preserve">      1.3.  Neto dobici od umanjenja ranije priznatih gubitaka usljed obezvređenja investicionih nekretnina koje se vrednuju po nabavnoj vrijednosti</v>
      </c>
      <c r="E97" s="703"/>
      <c r="F97" s="703"/>
      <c r="G97" s="703"/>
      <c r="H97" s="704"/>
      <c r="I97" s="63">
        <f>VLOOKUP( $B97, T_Aop[], 4, 1)</f>
        <v>277</v>
      </c>
      <c r="J97" s="450"/>
      <c r="K97" s="450"/>
      <c r="L97" s="451"/>
      <c r="N97" s="438"/>
      <c r="P97" s="439"/>
    </row>
    <row r="98" spans="2:16" ht="22.5" customHeight="1" x14ac:dyDescent="0.2">
      <c r="B98" s="15">
        <v>216</v>
      </c>
      <c r="C98" s="58" t="str">
        <f>IF(AND([0]!Godina=2024,MID(Osnovni_podaci!D20,3,1)="e",Osnovni_podaci!L24=5,Osnovni_podaci!G24=0,MID(Osnovni_podaci!D20,3,1)="e",MID(Osnovni_podaci!D20,8,1)="d"),VLOOKUP( $B98, T_Aop[], 5, 1),A1)</f>
        <v>683, 583 neto prikaz</v>
      </c>
      <c r="D98" s="699" t="str">
        <f>IF(AND([0]!Godina=2024,MID(Osnovni_podaci!D20,3,1)="e",Osnovni_podaci!L24=5,Osnovni_podaci!G24=0,MID(Osnovni_podaci!D20,3,1)="e",MID(Osnovni_podaci!D20,8,1)="d"),VLOOKUP( $B98, T_Aop[], 6, 1),A1)</f>
        <v xml:space="preserve">      1.4.  Neto dobici od umanjenja ranije priznatih gubitaka usljed obezvređenja bioloških sredstva koja se vrednuju po nabavnoj vrijednosti</v>
      </c>
      <c r="E98" s="700"/>
      <c r="F98" s="700"/>
      <c r="G98" s="700"/>
      <c r="H98" s="701"/>
      <c r="I98" s="59">
        <f>VLOOKUP( $B98, T_Aop[], 4, 1)</f>
        <v>278</v>
      </c>
      <c r="J98" s="452"/>
      <c r="K98" s="452"/>
      <c r="L98" s="453"/>
      <c r="N98" s="44"/>
      <c r="P98" s="183"/>
    </row>
    <row r="99" spans="2:16" ht="22.5" customHeight="1" x14ac:dyDescent="0.2">
      <c r="B99" s="15">
        <v>217</v>
      </c>
      <c r="C99" s="62" t="str">
        <f>IF(AND([0]!Godina=2024,MID(Osnovni_podaci!D20,3,1)="e",Osnovni_podaci!L24=5,Osnovni_podaci!G24=0,MID(Osnovni_podaci!D20,3,1)="e",MID(Osnovni_podaci!D20,8,1)="d"),VLOOKUP( $B99, T_Aop[], 5, 1),A1)</f>
        <v>685, 585 neto prikaz</v>
      </c>
      <c r="D99" s="702" t="str">
        <f>IF(AND([0]!Godina=2024,MID(Osnovni_podaci!D20,3,1)="e",Osnovni_podaci!L24=5,Osnovni_podaci!G24=0,MID(Osnovni_podaci!D20,3,1)="e",MID(Osnovni_podaci!D20,8,1)="d"),VLOOKUP( $B99, T_Aop[], 6, 1),A1)</f>
        <v xml:space="preserve">      1.5.  Neto dobici od usklađivanja vrijednosti zaliha materijala i robe </v>
      </c>
      <c r="E99" s="703"/>
      <c r="F99" s="703"/>
      <c r="G99" s="703"/>
      <c r="H99" s="704"/>
      <c r="I99" s="63">
        <f>VLOOKUP( $B99, T_Aop[], 4, 1)</f>
        <v>279</v>
      </c>
      <c r="J99" s="450"/>
      <c r="K99" s="450"/>
      <c r="L99" s="451">
        <v>18</v>
      </c>
      <c r="N99" s="44"/>
      <c r="P99" s="184" t="s">
        <v>313</v>
      </c>
    </row>
    <row r="100" spans="2:16" ht="22.5" customHeight="1" x14ac:dyDescent="0.2">
      <c r="B100" s="15">
        <v>218</v>
      </c>
      <c r="C100" s="58" t="str">
        <f>IF(AND([0]!Godina=2024,MID(Osnovni_podaci!D20,3,1)="e",Osnovni_podaci!L24=5,Osnovni_podaci!G24=0,MID(Osnovni_podaci!D20,3,1)="e",MID(Osnovni_podaci!D20,8,1)="d"),VLOOKUP( $B100, T_Aop[], 5, 1),A1)</f>
        <v>688, dio 689, 588, dio 589neto prikaz</v>
      </c>
      <c r="D100" s="699" t="str">
        <f>IF(AND([0]!Godina=2024,MID(Osnovni_podaci!D20,3,1)="e",Osnovni_podaci!L24=5,Osnovni_podaci!G24=0,MID(Osnovni_podaci!D20,3,1)="e",MID(Osnovni_podaci!D20,8,1)="d"),VLOOKUP( $B100, T_Aop[], 6, 1),A1)</f>
        <v xml:space="preserve">      1.6.  Neto dobici od usklađivanja vrijednost stalnih sredstava namijenjenih prodaji, sredstava poslovanja koje se obustavlja i ostalih nefinansijskih sredstava</v>
      </c>
      <c r="E100" s="700"/>
      <c r="F100" s="700"/>
      <c r="G100" s="700"/>
      <c r="H100" s="701"/>
      <c r="I100" s="59">
        <f>VLOOKUP( $B100, T_Aop[], 4, 1)</f>
        <v>280</v>
      </c>
      <c r="J100" s="452"/>
      <c r="K100" s="452"/>
      <c r="L100" s="453"/>
      <c r="N100" s="44"/>
      <c r="P100" s="183"/>
    </row>
    <row r="101" spans="2:16" ht="13.5" customHeight="1" x14ac:dyDescent="0.2">
      <c r="B101" s="15">
        <v>219</v>
      </c>
      <c r="C101" s="62" t="str">
        <f>IF(AND([0]!Godina=2024,MID(Osnovni_podaci!D20,3,1)="e",Osnovni_podaci!L24=5,Osnovni_podaci!G24=0,MID(Osnovni_podaci!D20,3,1)="e",MID(Osnovni_podaci!D20,8,1)="d"),VLOOKUP( $B101, T_Aop[], 5, 1),A1)</f>
        <v>dio 68</v>
      </c>
      <c r="D101" s="702" t="str">
        <f>IF(AND([0]!Godina=2024,MID(Osnovni_podaci!D20,3,1)="e",Osnovni_podaci!L24=5,Osnovni_podaci!G24=0,MID(Osnovni_podaci!D20,3,1)="e",MID(Osnovni_podaci!D20,8,1)="d"),VLOOKUP( $B101, T_Aop[], 6, 1),A1)</f>
        <v xml:space="preserve">    2. Neto dobici od usklađivanja vrijednosti finansijskih sredstava (282 do 285)</v>
      </c>
      <c r="E101" s="703"/>
      <c r="F101" s="703"/>
      <c r="G101" s="703"/>
      <c r="H101" s="704"/>
      <c r="I101" s="63">
        <f>VLOOKUP( $B101, T_Aop[], 4, 1)</f>
        <v>281</v>
      </c>
      <c r="J101" s="450"/>
      <c r="K101" s="456">
        <f>IF(AND([0]!Godina=2024,MID(Osnovni_podaci!D20,3,1)="e",Osnovni_podaci!L24=5,Osnovni_podaci!G24=0,MID(Osnovni_podaci!D20,3,1)="e",MID(Osnovni_podaci!D20,8,1)="d"),SUBTOTAL( 9, K102:K105),A1)</f>
        <v>0</v>
      </c>
      <c r="L101" s="488">
        <f>IF(AND([0]!Godina=2024,MID(Osnovni_podaci!D20,3,1)="e",Osnovni_podaci!L24=5,Osnovni_podaci!G24=0,MID(Osnovni_podaci!D20,3,1)="e",MID(Osnovni_podaci!D20,8,1)="d"),SUBTOTAL( 9, L102:L105),A1)</f>
        <v>0</v>
      </c>
      <c r="N101" s="44"/>
      <c r="P101" s="183"/>
    </row>
    <row r="102" spans="2:16" ht="22.5" customHeight="1" x14ac:dyDescent="0.2">
      <c r="B102" s="15">
        <v>220</v>
      </c>
      <c r="C102" s="58" t="str">
        <f>IF(AND([0]!Godina=2024,MID(Osnovni_podaci!D20,3,1)="e",Osnovni_podaci!L24=5,Osnovni_podaci!G24=0,MID(Osnovni_podaci!D20,3,1)="e",MID(Osnovni_podaci!D20,8,1)="d"),VLOOKUP( $B102, T_Aop[], 5, 1),A1)</f>
        <v>684, 584 neto prikaz</v>
      </c>
      <c r="D102" s="699" t="str">
        <f>IF(AND([0]!Godina=2024,MID(Osnovni_podaci!D20,3,1)="e",Osnovni_podaci!L24=5,Osnovni_podaci!G24=0,MID(Osnovni_podaci!D20,3,1)="e",MID(Osnovni_podaci!D20,8,1)="d"),VLOOKUP( $B102, T_Aop[], 6, 1),A1)</f>
        <v xml:space="preserve">      2.1  Neto dobici od usklađivanja vrijednosti dugoročnih finansijskih sredstava </v>
      </c>
      <c r="E102" s="700"/>
      <c r="F102" s="700"/>
      <c r="G102" s="700"/>
      <c r="H102" s="701"/>
      <c r="I102" s="59">
        <f>VLOOKUP( $B102, T_Aop[], 4, 1)</f>
        <v>282</v>
      </c>
      <c r="J102" s="452"/>
      <c r="K102" s="452"/>
      <c r="L102" s="453"/>
      <c r="N102" s="44"/>
      <c r="P102" s="183"/>
    </row>
    <row r="103" spans="2:16" ht="22.5" customHeight="1" x14ac:dyDescent="0.2">
      <c r="B103" s="15">
        <v>221</v>
      </c>
      <c r="C103" s="62" t="str">
        <f>IF(AND([0]!Godina=2024,MID(Osnovni_podaci!D20,3,1)="e",Osnovni_podaci!L24=5,Osnovni_podaci!G24=0,MID(Osnovni_podaci!D20,3,1)="e",MID(Osnovni_podaci!D20,8,1)="d"),VLOOKUP( $B103, T_Aop[], 5, 1),A1)</f>
        <v>686, 585 neto prikaz</v>
      </c>
      <c r="D103" s="702" t="str">
        <f>IF(AND([0]!Godina=2024,MID(Osnovni_podaci!D20,3,1)="e",Osnovni_podaci!L24=5,Osnovni_podaci!G24=0,MID(Osnovni_podaci!D20,3,1)="e",MID(Osnovni_podaci!D20,8,1)="d"),VLOOKUP( $B103, T_Aop[], 6, 1),A1)</f>
        <v xml:space="preserve">      2.2  Neto dobici od usklađivanja vrijednosti kratkoročnih finansijskih sredstava (osim potraživanja od kupaca)</v>
      </c>
      <c r="E103" s="703"/>
      <c r="F103" s="703"/>
      <c r="G103" s="703"/>
      <c r="H103" s="704"/>
      <c r="I103" s="63">
        <f>VLOOKUP( $B103, T_Aop[], 4, 1)</f>
        <v>283</v>
      </c>
      <c r="J103" s="450"/>
      <c r="K103" s="450"/>
      <c r="L103" s="451"/>
      <c r="N103" s="44"/>
      <c r="P103" s="183"/>
    </row>
    <row r="104" spans="2:16" ht="22.5" customHeight="1" x14ac:dyDescent="0.2">
      <c r="B104" s="15">
        <v>222</v>
      </c>
      <c r="C104" s="58" t="str">
        <f>IF(AND([0]!Godina=2024,MID(Osnovni_podaci!D20,3,1)="e",Osnovni_podaci!L24=5,Osnovni_podaci!G24=0,MID(Osnovni_podaci!D20,3,1)="e",MID(Osnovni_podaci!D20,8,1)="d"),VLOOKUP( $B104, T_Aop[], 5, 1),A1)</f>
        <v>687, 587 neto prikaz</v>
      </c>
      <c r="D104" s="699" t="str">
        <f>IF(AND([0]!Godina=2024,MID(Osnovni_podaci!D20,3,1)="e",Osnovni_podaci!L24=5,Osnovni_podaci!G24=0,MID(Osnovni_podaci!D20,3,1)="e",MID(Osnovni_podaci!D20,8,1)="d"),VLOOKUP( $B104, T_Aop[], 6, 1),A1)</f>
        <v xml:space="preserve">      2.3  Neto dobici od umanjenja ranije priznatih kreditnih gubitaka usljed obezvređenja potraživanja od kupaca </v>
      </c>
      <c r="E104" s="700"/>
      <c r="F104" s="700"/>
      <c r="G104" s="700"/>
      <c r="H104" s="701"/>
      <c r="I104" s="59">
        <f>VLOOKUP( $B104, T_Aop[], 4, 1)</f>
        <v>284</v>
      </c>
      <c r="J104" s="452"/>
      <c r="K104" s="452"/>
      <c r="L104" s="453"/>
      <c r="N104" s="44"/>
      <c r="P104" s="183"/>
    </row>
    <row r="105" spans="2:16" ht="27.75" customHeight="1" x14ac:dyDescent="0.2">
      <c r="B105" s="15">
        <v>223</v>
      </c>
      <c r="C105" s="62" t="str">
        <f>IF(AND([0]!Godina=2024,MID(Osnovni_podaci!D20,3,1)="e",Osnovni_podaci!L24=5,Osnovni_podaci!G24=0,MID(Osnovni_podaci!D20,3,1)="e",MID(Osnovni_podaci!D20,8,1)="d"),VLOOKUP( $B105, T_Aop[], 5, 1),A1)</f>
        <v>dio 689, dio 589 neto prikaz</v>
      </c>
      <c r="D105" s="702" t="str">
        <f>IF(AND([0]!Godina=2024,MID(Osnovni_podaci!D20,3,1)="e",Osnovni_podaci!L24=5,Osnovni_podaci!G24=0,MID(Osnovni_podaci!D20,3,1)="e",MID(Osnovni_podaci!D20,8,1)="d"),VLOOKUP( $B105, T_Aop[], 6, 1),A1)</f>
        <v xml:space="preserve">      2.4  Neto dobici od usklađivanja vrijednosti ostalih finansijskih sredstava</v>
      </c>
      <c r="E105" s="703"/>
      <c r="F105" s="703"/>
      <c r="G105" s="703"/>
      <c r="H105" s="704"/>
      <c r="I105" s="63">
        <f>VLOOKUP( $B105, T_Aop[], 4, 1)</f>
        <v>285</v>
      </c>
      <c r="J105" s="450"/>
      <c r="K105" s="450"/>
      <c r="L105" s="451"/>
      <c r="N105" s="44"/>
      <c r="P105" s="183"/>
    </row>
    <row r="106" spans="2:16" ht="15" customHeight="1" x14ac:dyDescent="0.2">
      <c r="B106" s="15">
        <v>224</v>
      </c>
      <c r="C106" s="187" t="str">
        <f>IF(AND([0]!Godina=2024,MID(Osnovni_podaci!D20,3,1)="e",Osnovni_podaci!L24=5,Osnovni_podaci!G24=0,MID(Osnovni_podaci!D20,3,1)="e",MID(Osnovni_podaci!D20,8,1)="d"),VLOOKUP( $B106, T_Aop[], 5, 1),A1)</f>
        <v>58</v>
      </c>
      <c r="D106" s="705" t="str">
        <f>IF(AND([0]!Godina=2024,MID(Osnovni_podaci!D20,3,1)="e",Osnovni_podaci!L24=5,Osnovni_podaci!G24=0,MID(Osnovni_podaci!D20,3,1)="e",MID(Osnovni_podaci!D20,8,1)="d"),VLOOKUP( $B106, T_Aop[], 6, 1),A1)</f>
        <v xml:space="preserve">  II  RASHODI OD USKLAĐIVANJA VRIJEDNOSTI IMOVINE (287 + 294)</v>
      </c>
      <c r="E106" s="706"/>
      <c r="F106" s="706"/>
      <c r="G106" s="706"/>
      <c r="H106" s="707"/>
      <c r="I106" s="178">
        <f>VLOOKUP( $B106, T_Aop[], 4, 1)</f>
        <v>286</v>
      </c>
      <c r="J106" s="452"/>
      <c r="K106" s="60">
        <f>IF(AND([0]!Godina=2024,MID(Osnovni_podaci!D20,3,1)="e",Osnovni_podaci!L24=5,Osnovni_podaci!G24=0,MID(Osnovni_podaci!D20,3,1)="e",MID(Osnovni_podaci!D20,8,1)="d"),SUBTOTAL( 9, K107:K118),A1)</f>
        <v>0</v>
      </c>
      <c r="L106" s="61">
        <f>IF(AND([0]!Godina=2024,MID(Osnovni_podaci!D20,3,1)="e",Osnovni_podaci!L24=5,Osnovni_podaci!G24=0,MID(Osnovni_podaci!D20,3,1)="e",MID(Osnovni_podaci!D20,8,1)="d"),SUBTOTAL( 9, L107:L118),A1)</f>
        <v>6</v>
      </c>
      <c r="N106" s="44"/>
      <c r="P106" s="183"/>
    </row>
    <row r="107" spans="2:16" ht="13.5" customHeight="1" x14ac:dyDescent="0.2">
      <c r="B107" s="15">
        <v>225</v>
      </c>
      <c r="C107" s="62">
        <f>IF(AND([0]!Godina=2024,MID(Osnovni_podaci!D20,3,1)="e",Osnovni_podaci!L24=5,Osnovni_podaci!G24=0,MID(Osnovni_podaci!D20,3,1)="e",MID(Osnovni_podaci!D20,8,1)="d"),VLOOKUP( $B107, T_Aop[], 5, 1),A1)</f>
        <v>0</v>
      </c>
      <c r="D107" s="702" t="str">
        <f>IF(AND([0]!Godina=2024,MID(Osnovni_podaci!D20,3,1)="e",Osnovni_podaci!L24=5,Osnovni_podaci!G24=0,MID(Osnovni_podaci!D20,3,1)="e",MID(Osnovni_podaci!D20,8,1)="d"),VLOOKUP( $B107, T_Aop[], 6, 1),A1)</f>
        <v xml:space="preserve">    1.  Rashodi od usklađivanja vrijednosti imovine (osim finansijske) (288 do 293)</v>
      </c>
      <c r="E107" s="703"/>
      <c r="F107" s="703"/>
      <c r="G107" s="703"/>
      <c r="H107" s="704"/>
      <c r="I107" s="63">
        <f>VLOOKUP( $B107, T_Aop[], 4, 1)</f>
        <v>287</v>
      </c>
      <c r="J107" s="450"/>
      <c r="K107" s="456">
        <f>IF(AND([0]!Godina=2024,MID(Osnovni_podaci!D20,3,1)="e",Osnovni_podaci!L24=5,Osnovni_podaci!G24=0,MID(Osnovni_podaci!D20,3,1)="e",MID(Osnovni_podaci!D20,8,1)="d"),SUBTOTAL( 9, K108:K113),A1)</f>
        <v>0</v>
      </c>
      <c r="L107" s="457">
        <f>IF(AND([0]!Godina=2024,MID(Osnovni_podaci!D20,3,1)="e",Osnovni_podaci!L24=5,Osnovni_podaci!G24=0,MID(Osnovni_podaci!D20,3,1)="e",MID(Osnovni_podaci!D20,8,1)="d"),SUBTOTAL( 9, L108:L113),A1)</f>
        <v>6</v>
      </c>
      <c r="N107" s="44"/>
      <c r="P107" s="183"/>
    </row>
    <row r="108" spans="2:16" ht="22.5" customHeight="1" x14ac:dyDescent="0.2">
      <c r="B108" s="15">
        <v>226</v>
      </c>
      <c r="C108" s="58" t="str">
        <f>IF(AND([0]!Godina=2024,MID(Osnovni_podaci!D20,3,1)="e",Osnovni_podaci!L24=5,Osnovni_podaci!G24=0,MID(Osnovni_podaci!D20,3,1)="e",MID(Osnovni_podaci!D20,8,1)="d"),VLOOKUP( $B108, T_Aop[], 5, 1),A1)</f>
        <v>580, 680 neto prikaz</v>
      </c>
      <c r="D108" s="699" t="str">
        <f>IF(AND([0]!Godina=2024,MID(Osnovni_podaci!D20,3,1)="e",Osnovni_podaci!L24=5,Osnovni_podaci!G24=0,MID(Osnovni_podaci!D20,3,1)="e",MID(Osnovni_podaci!D20,8,1)="d"),VLOOKUP( $B108, T_Aop[], 6, 1),A1)</f>
        <v xml:space="preserve">      1.1. Neto gubici po osnovu obezvređenja nematerijalnih sredstava</v>
      </c>
      <c r="E108" s="700"/>
      <c r="F108" s="700"/>
      <c r="G108" s="700"/>
      <c r="H108" s="701"/>
      <c r="I108" s="59">
        <f>VLOOKUP( $B108, T_Aop[], 4, 1)</f>
        <v>288</v>
      </c>
      <c r="J108" s="452"/>
      <c r="K108" s="452"/>
      <c r="L108" s="453"/>
      <c r="N108" s="44"/>
      <c r="P108" s="183"/>
    </row>
    <row r="109" spans="2:16" ht="22.5" customHeight="1" x14ac:dyDescent="0.2">
      <c r="B109" s="15">
        <v>227</v>
      </c>
      <c r="C109" s="62" t="str">
        <f>IF(AND([0]!Godina=2024,MID(Osnovni_podaci!D20,3,1)="e",Osnovni_podaci!L24=5,Osnovni_podaci!G24=0,MID(Osnovni_podaci!D20,3,1)="e",MID(Osnovni_podaci!D20,8,1)="d"),VLOOKUP( $B109, T_Aop[], 5, 1),A1)</f>
        <v>581, 681 neto prikaz</v>
      </c>
      <c r="D109" s="702" t="str">
        <f>IF(AND([0]!Godina=2024,MID(Osnovni_podaci!D20,3,1)="e",Osnovni_podaci!L24=5,Osnovni_podaci!G24=0,MID(Osnovni_podaci!D20,3,1)="e",MID(Osnovni_podaci!D20,8,1)="d"),VLOOKUP( $B109, T_Aop[], 6, 1),A1)</f>
        <v xml:space="preserve">      1.2. Neto gubici po osnovu obezvređenja nekretnina, postrojenja i opreme</v>
      </c>
      <c r="E109" s="703"/>
      <c r="F109" s="703"/>
      <c r="G109" s="703"/>
      <c r="H109" s="704"/>
      <c r="I109" s="63">
        <f>VLOOKUP( $B109, T_Aop[], 4, 1)</f>
        <v>289</v>
      </c>
      <c r="J109" s="450"/>
      <c r="K109" s="450"/>
      <c r="L109" s="451"/>
      <c r="N109" s="44"/>
      <c r="P109" s="183"/>
    </row>
    <row r="110" spans="2:16" ht="22.5" customHeight="1" x14ac:dyDescent="0.2">
      <c r="B110" s="15">
        <v>228</v>
      </c>
      <c r="C110" s="58" t="str">
        <f>IF(AND([0]!Godina=2024,MID(Osnovni_podaci!D20,3,1)="e",Osnovni_podaci!L24=5,Osnovni_podaci!G24=0,MID(Osnovni_podaci!D20,3,1)="e",MID(Osnovni_podaci!D20,8,1)="d"),VLOOKUP( $B110, T_Aop[], 5, 1),A1)</f>
        <v>582, 682 neto prikaz</v>
      </c>
      <c r="D110" s="699" t="str">
        <f>IF(AND([0]!Godina=2024,MID(Osnovni_podaci!D20,3,1)="e",Osnovni_podaci!L24=5,Osnovni_podaci!G24=0,MID(Osnovni_podaci!D20,3,1)="e",MID(Osnovni_podaci!D20,8,1)="d"),VLOOKUP( $B110, T_Aop[], 6, 1),A1)</f>
        <v xml:space="preserve">      1.3. Neto gubici po osnovu obezvređenja investicionih nekretnina koje se vrednuju po nabavnoj vrijednosti</v>
      </c>
      <c r="E110" s="700"/>
      <c r="F110" s="700"/>
      <c r="G110" s="700"/>
      <c r="H110" s="701"/>
      <c r="I110" s="59">
        <f>VLOOKUP( $B110, T_Aop[], 4, 1)</f>
        <v>290</v>
      </c>
      <c r="J110" s="452"/>
      <c r="K110" s="452"/>
      <c r="L110" s="453"/>
      <c r="N110" s="44"/>
      <c r="P110" s="183"/>
    </row>
    <row r="111" spans="2:16" ht="22.5" customHeight="1" x14ac:dyDescent="0.2">
      <c r="B111" s="15">
        <v>229</v>
      </c>
      <c r="C111" s="62" t="str">
        <f>IF(AND([0]!Godina=2024,MID(Osnovni_podaci!D20,3,1)="e",Osnovni_podaci!L24=5,Osnovni_podaci!G24=0,MID(Osnovni_podaci!D20,3,1)="e",MID(Osnovni_podaci!D20,8,1)="d"),VLOOKUP( $B111, T_Aop[], 5, 1),A1)</f>
        <v>583, 683 neto prikaz</v>
      </c>
      <c r="D111" s="702" t="str">
        <f>IF(AND([0]!Godina=2024,MID(Osnovni_podaci!D20,3,1)="e",Osnovni_podaci!L24=5,Osnovni_podaci!G24=0,MID(Osnovni_podaci!D20,3,1)="e",MID(Osnovni_podaci!D20,8,1)="d"),VLOOKUP( $B111, T_Aop[], 6, 1),A1)</f>
        <v xml:space="preserve">      1.4. Neto gubici po osnovu obezvređenja bioloških sredstva koje se vrednuju po nabavnoj vrijednosti</v>
      </c>
      <c r="E111" s="703"/>
      <c r="F111" s="703"/>
      <c r="G111" s="703"/>
      <c r="H111" s="704"/>
      <c r="I111" s="63">
        <f>VLOOKUP( $B111, T_Aop[], 4, 1)</f>
        <v>291</v>
      </c>
      <c r="J111" s="450"/>
      <c r="K111" s="450"/>
      <c r="L111" s="451"/>
      <c r="N111" s="44"/>
      <c r="P111" s="183"/>
    </row>
    <row r="112" spans="2:16" ht="22.5" customHeight="1" x14ac:dyDescent="0.2">
      <c r="B112" s="15">
        <v>230</v>
      </c>
      <c r="C112" s="58" t="str">
        <f>IF(AND([0]!Godina=2024,MID(Osnovni_podaci!D20,3,1)="e",Osnovni_podaci!L24=5,Osnovni_podaci!G24=0,MID(Osnovni_podaci!D20,3,1)="e",MID(Osnovni_podaci!D20,8,1)="d"),VLOOKUP( $B112, T_Aop[], 5, 1),A1)</f>
        <v>585, 685 neto prikaz</v>
      </c>
      <c r="D112" s="699" t="str">
        <f>IF(AND([0]!Godina=2024,MID(Osnovni_podaci!D20,3,1)="e",Osnovni_podaci!L24=5,Osnovni_podaci!G24=0,MID(Osnovni_podaci!D20,3,1)="e",MID(Osnovni_podaci!D20,8,1)="d"),VLOOKUP( $B112, T_Aop[], 6, 1),A1)</f>
        <v xml:space="preserve">      1.5. Neto gubici od usklađivanja vrijednosti zaliha materijala i robe </v>
      </c>
      <c r="E112" s="700"/>
      <c r="F112" s="700"/>
      <c r="G112" s="700"/>
      <c r="H112" s="701"/>
      <c r="I112" s="59">
        <f>VLOOKUP( $B112, T_Aop[], 4, 1)</f>
        <v>292</v>
      </c>
      <c r="J112" s="452"/>
      <c r="K112" s="452"/>
      <c r="L112" s="453">
        <v>6</v>
      </c>
      <c r="N112" s="44"/>
      <c r="P112" s="183"/>
    </row>
    <row r="113" spans="2:16" ht="22.5" customHeight="1" x14ac:dyDescent="0.2">
      <c r="B113" s="15">
        <v>231</v>
      </c>
      <c r="C113" s="62" t="str">
        <f>IF(AND([0]!Godina=2024,MID(Osnovni_podaci!D20,3,1)="e",Osnovni_podaci!L24=5,Osnovni_podaci!G24=0,MID(Osnovni_podaci!D20,3,1)="e",MID(Osnovni_podaci!D20,8,1)="d"),VLOOKUP( $B113, T_Aop[], 5, 1),A1)</f>
        <v>588, dio 589, 688, dio 689 neto prikaz</v>
      </c>
      <c r="D113" s="702" t="str">
        <f>IF(AND([0]!Godina=2024,MID(Osnovni_podaci!D20,3,1)="e",Osnovni_podaci!L24=5,Osnovni_podaci!G24=0,MID(Osnovni_podaci!D20,3,1)="e",MID(Osnovni_podaci!D20,8,1)="d"),VLOOKUP( $B113, T_Aop[], 6, 1),A1)</f>
        <v xml:space="preserve">      1.6. Neto gubici od usklađivanja vrijednosti stalnih sredstava namijenjenih prodaji, sredstava poslovanja koje se obustavlja i ostalih nefinansijskih sredstava</v>
      </c>
      <c r="E113" s="703"/>
      <c r="F113" s="703"/>
      <c r="G113" s="703"/>
      <c r="H113" s="704"/>
      <c r="I113" s="63">
        <f>VLOOKUP( $B113, T_Aop[], 4, 1)</f>
        <v>293</v>
      </c>
      <c r="J113" s="450"/>
      <c r="K113" s="450"/>
      <c r="L113" s="451"/>
      <c r="N113" s="44"/>
      <c r="P113" s="183"/>
    </row>
    <row r="114" spans="2:16" ht="15" customHeight="1" x14ac:dyDescent="0.2">
      <c r="B114" s="15">
        <v>232</v>
      </c>
      <c r="C114" s="58">
        <f>IF(AND([0]!Godina=2024,MID(Osnovni_podaci!D20,3,1)="e",Osnovni_podaci!L24=5,Osnovni_podaci!G24=0,MID(Osnovni_podaci!D20,3,1)="e",MID(Osnovni_podaci!D20,8,1)="d"),VLOOKUP( $B114, T_Aop[], 5, 1),A1)</f>
        <v>0</v>
      </c>
      <c r="D114" s="699" t="str">
        <f>IF(AND([0]!Godina=2024,MID(Osnovni_podaci!D20,3,1)="e",Osnovni_podaci!L24=5,Osnovni_podaci!G24=0,MID(Osnovni_podaci!D20,3,1)="e",MID(Osnovni_podaci!D20,8,1)="d"),VLOOKUP( $B114, T_Aop[], 6, 1),A1)</f>
        <v xml:space="preserve">    2.  Gubici od usklađivanja vrijednosti finansijskih sredstava (295 do 298)</v>
      </c>
      <c r="E114" s="700"/>
      <c r="F114" s="700"/>
      <c r="G114" s="700"/>
      <c r="H114" s="701"/>
      <c r="I114" s="59">
        <f>VLOOKUP( $B114, T_Aop[], 4, 1)</f>
        <v>294</v>
      </c>
      <c r="J114" s="452"/>
      <c r="K114" s="454">
        <f>IF(AND([0]!Godina=2024,MID(Osnovni_podaci!D20,3,1)="e",Osnovni_podaci!L24=5,Osnovni_podaci!G24=0,MID(Osnovni_podaci!D20,3,1)="e",MID(Osnovni_podaci!D20,8,1)="d"),SUBTOTAL( 9, K115:K118),A1)</f>
        <v>0</v>
      </c>
      <c r="L114" s="455">
        <f>IF(AND([0]!Godina=2024,MID(Osnovni_podaci!D20,3,1)="e",Osnovni_podaci!L24=5,Osnovni_podaci!G24=0,MID(Osnovni_podaci!D20,3,1)="e",MID(Osnovni_podaci!D20,8,1)="d"),SUBTOTAL( 9, L115:L118),A1)</f>
        <v>0</v>
      </c>
      <c r="N114" s="44"/>
      <c r="P114" s="183"/>
    </row>
    <row r="115" spans="2:16" ht="22.5" customHeight="1" x14ac:dyDescent="0.2">
      <c r="B115" s="15">
        <v>233</v>
      </c>
      <c r="C115" s="62" t="str">
        <f>IF(AND([0]!Godina=2024,MID(Osnovni_podaci!D20,3,1)="e",Osnovni_podaci!L24=5,Osnovni_podaci!G24=0,MID(Osnovni_podaci!D20,3,1)="e",MID(Osnovni_podaci!D20,8,1)="d"),VLOOKUP( $B115, T_Aop[], 5, 1),A1)</f>
        <v>584, 684 neto prikaz</v>
      </c>
      <c r="D115" s="702" t="str">
        <f>IF(AND([0]!Godina=2024,MID(Osnovni_podaci!D20,3,1)="e",Osnovni_podaci!L24=5,Osnovni_podaci!G24=0,MID(Osnovni_podaci!D20,3,1)="e",MID(Osnovni_podaci!D20,8,1)="d"),VLOOKUP( $B115, T_Aop[], 6, 1),A1)</f>
        <v xml:space="preserve">      2.1 Neto gubici od usklađivanja vrijednosti dugoročnih finansijskih sredstava</v>
      </c>
      <c r="E115" s="703"/>
      <c r="F115" s="703"/>
      <c r="G115" s="703"/>
      <c r="H115" s="704"/>
      <c r="I115" s="63">
        <f>VLOOKUP( $B115, T_Aop[], 4, 1)</f>
        <v>295</v>
      </c>
      <c r="J115" s="450"/>
      <c r="K115" s="450"/>
      <c r="L115" s="451"/>
      <c r="N115" s="44"/>
      <c r="P115" s="183"/>
    </row>
    <row r="116" spans="2:16" ht="22.5" customHeight="1" x14ac:dyDescent="0.2">
      <c r="B116" s="15">
        <v>234</v>
      </c>
      <c r="C116" s="58" t="str">
        <f>IF(AND([0]!Godina=2024,MID(Osnovni_podaci!D20,3,1)="e",Osnovni_podaci!L24=5,Osnovni_podaci!G24=0,MID(Osnovni_podaci!D20,3,1)="e",MID(Osnovni_podaci!D20,8,1)="d"),VLOOKUP( $B116, T_Aop[], 5, 1),A1)</f>
        <v>586, 686 neto prikaz</v>
      </c>
      <c r="D116" s="699" t="str">
        <f>IF(AND([0]!Godina=2024,MID(Osnovni_podaci!D20,3,1)="e",Osnovni_podaci!L24=5,Osnovni_podaci!G24=0,MID(Osnovni_podaci!D20,3,1)="e",MID(Osnovni_podaci!D20,8,1)="d"),VLOOKUP( $B116, T_Aop[], 6, 1),A1)</f>
        <v xml:space="preserve">      2.2  Neto gubici od usklađivanja vrijednosti kratkoročnih finansijskih sredstava (osim potraživanja od kupaca)</v>
      </c>
      <c r="E116" s="700"/>
      <c r="F116" s="700"/>
      <c r="G116" s="700"/>
      <c r="H116" s="701"/>
      <c r="I116" s="59">
        <f>VLOOKUP( $B116, T_Aop[], 4, 1)</f>
        <v>296</v>
      </c>
      <c r="J116" s="452"/>
      <c r="K116" s="452"/>
      <c r="L116" s="453"/>
      <c r="N116" s="44"/>
      <c r="P116" s="184" t="s">
        <v>313</v>
      </c>
    </row>
    <row r="117" spans="2:16" ht="22.5" customHeight="1" x14ac:dyDescent="0.2">
      <c r="B117" s="15">
        <v>235</v>
      </c>
      <c r="C117" s="62" t="str">
        <f>IF(AND([0]!Godina=2024,MID(Osnovni_podaci!D20,3,1)="e",Osnovni_podaci!L24=5,Osnovni_podaci!G24=0,MID(Osnovni_podaci!D20,3,1)="e",MID(Osnovni_podaci!D20,8,1)="d"),VLOOKUP( $B117, T_Aop[], 5, 1),A1)</f>
        <v>587, 687 neto prikaz</v>
      </c>
      <c r="D117" s="702" t="str">
        <f>IF(AND([0]!Godina=2024,MID(Osnovni_podaci!D20,3,1)="e",Osnovni_podaci!L24=5,Osnovni_podaci!G24=0,MID(Osnovni_podaci!D20,3,1)="e",MID(Osnovni_podaci!D20,8,1)="d"),VLOOKUP( $B117, T_Aop[], 6, 1),A1)</f>
        <v xml:space="preserve">      2.3 Neto gubici od usklađivanja vrijednosti potraživanja od kupaca</v>
      </c>
      <c r="E117" s="703"/>
      <c r="F117" s="703"/>
      <c r="G117" s="703"/>
      <c r="H117" s="704"/>
      <c r="I117" s="63">
        <f>VLOOKUP( $B117, T_Aop[], 4, 1)</f>
        <v>297</v>
      </c>
      <c r="J117" s="450"/>
      <c r="K117" s="450"/>
      <c r="L117" s="451"/>
      <c r="N117" s="44"/>
      <c r="P117" s="184" t="s">
        <v>313</v>
      </c>
    </row>
    <row r="118" spans="2:16" ht="22.5" customHeight="1" x14ac:dyDescent="0.2">
      <c r="B118" s="15">
        <v>236</v>
      </c>
      <c r="C118" s="58" t="str">
        <f>IF(AND([0]!Godina=2024,MID(Osnovni_podaci!D20,3,1)="e",Osnovni_podaci!L24=5,Osnovni_podaci!G24=0,MID(Osnovni_podaci!D20,3,1)="e",MID(Osnovni_podaci!D20,8,1)="d"),VLOOKUP( $B118, T_Aop[], 5, 1),A1)</f>
        <v>dio 589, dio 689neto prikaz</v>
      </c>
      <c r="D118" s="699" t="str">
        <f>IF(AND([0]!Godina=2024,MID(Osnovni_podaci!D20,3,1)="e",Osnovni_podaci!L24=5,Osnovni_podaci!G24=0,MID(Osnovni_podaci!D20,3,1)="e",MID(Osnovni_podaci!D20,8,1)="d"),VLOOKUP( $B118, T_Aop[], 6, 1),A1)</f>
        <v xml:space="preserve">      2.4  Neto gubici od usklađivanja vrijednosti ostalih finansijskih sredstava</v>
      </c>
      <c r="E118" s="700"/>
      <c r="F118" s="700"/>
      <c r="G118" s="700"/>
      <c r="H118" s="701"/>
      <c r="I118" s="59">
        <f>VLOOKUP( $B118, T_Aop[], 4, 1)</f>
        <v>298</v>
      </c>
      <c r="J118" s="452"/>
      <c r="K118" s="452"/>
      <c r="L118" s="453"/>
      <c r="N118" s="44"/>
      <c r="P118" s="183"/>
    </row>
    <row r="119" spans="2:16" ht="15" customHeight="1" x14ac:dyDescent="0.2">
      <c r="B119" s="15">
        <v>237</v>
      </c>
      <c r="C119" s="66">
        <f>IF(AND([0]!Godina=2024,MID(Osnovni_podaci!D20,3,1)="e",Osnovni_podaci!L24=5,Osnovni_podaci!G24=0,MID(Osnovni_podaci!D20,3,1)="e",MID(Osnovni_podaci!D20,8,1)="d"),VLOOKUP( $B119, T_Aop[], 5, 1),A1)</f>
        <v>0</v>
      </c>
      <c r="D119" s="708" t="str">
        <f>IF(AND([0]!Godina=2024,MID(Osnovni_podaci!D20,3,1)="e",Osnovni_podaci!L24=5,Osnovni_podaci!G24=0,MID(Osnovni_podaci!D20,3,1)="e",MID(Osnovni_podaci!D20,8,1)="d"),VLOOKUP( $B119, T_Aop[], 6, 1),A1)</f>
        <v xml:space="preserve">  J. DOBITAK PO OSNOVU USKLAĐIVANJA VRIJEDNOSTI IMOVINE (273 – 286) </v>
      </c>
      <c r="E119" s="709"/>
      <c r="F119" s="709"/>
      <c r="G119" s="709"/>
      <c r="H119" s="710"/>
      <c r="I119" s="179">
        <f>VLOOKUP( $B119, T_Aop[], 4, 1)</f>
        <v>299</v>
      </c>
      <c r="J119" s="450"/>
      <c r="K119" s="67">
        <f>IF(AND([0]!Godina=2024,MID(Osnovni_podaci!D20,3,1)="e",Osnovni_podaci!L24=5,Osnovni_podaci!G24=0,MID(Osnovni_podaci!D20,3,1)="e",MID(Osnovni_podaci!D20,8,1)="d"),IF( SUBTOTAL( 9, K94:K105) - SUBTOTAL( 9, K106:K118) &lt;= 0, 0, ABS( SUBTOTAL( 9, K94:K105) - SUBTOTAL( 9, K106:K118)) ),A1)</f>
        <v>0</v>
      </c>
      <c r="L119" s="68">
        <f>IF(AND([0]!Godina=2024,MID(Osnovni_podaci!D20,3,1)="e",Osnovni_podaci!L24=5,Osnovni_podaci!G24=0,MID(Osnovni_podaci!D20,3,1)="e",MID(Osnovni_podaci!D20,8,1)="d"),IF( SUBTOTAL( 9, L94:L105) - SUBTOTAL( 9, L106:L118) &lt;= 0, 0, ABS( SUBTOTAL( 9, L94:L105) - SUBTOTAL( 9, L106:L118)) ),A1)</f>
        <v>12</v>
      </c>
      <c r="N119" s="44"/>
      <c r="P119" s="183"/>
    </row>
    <row r="120" spans="2:16" ht="15" customHeight="1" x14ac:dyDescent="0.2">
      <c r="B120" s="15">
        <v>238</v>
      </c>
      <c r="C120" s="58">
        <f>IF(AND([0]!Godina=2024,MID(Osnovni_podaci!D20,3,1)="e",Osnovni_podaci!L24=5,Osnovni_podaci!G24=0,MID(Osnovni_podaci!D20,3,1)="e",MID(Osnovni_podaci!D20,8,1)="d"),VLOOKUP( $B120, T_Aop[], 5, 1),A1)</f>
        <v>0</v>
      </c>
      <c r="D120" s="705" t="str">
        <f>IF(AND([0]!Godina=2024,MID(Osnovni_podaci!D20,3,1)="e",Osnovni_podaci!L24=5,Osnovni_podaci!G24=0,MID(Osnovni_podaci!D20,3,1)="e",MID(Osnovni_podaci!D20,8,1)="d"),VLOOKUP( $B120, T_Aop[], 6, 1),A1)</f>
        <v xml:space="preserve">  K. GUBITAK PO OSNOVU USKLAĐIVANJA VRIJEDNOSTI IMOVINE (286 – 273)</v>
      </c>
      <c r="E120" s="706"/>
      <c r="F120" s="706"/>
      <c r="G120" s="706"/>
      <c r="H120" s="707"/>
      <c r="I120" s="178">
        <f>VLOOKUP( $B120, T_Aop[], 4, 1)</f>
        <v>300</v>
      </c>
      <c r="J120" s="452"/>
      <c r="K120" s="253">
        <f>IF(AND([0]!Godina=2024,MID(Osnovni_podaci!D20,3,1)="e",Osnovni_podaci!L24=5,Osnovni_podaci!G24=0,MID(Osnovni_podaci!D20,3,1)="e",MID(Osnovni_podaci!D20,8,1)="d"),IF( SUBTOTAL( 9, K94:K105) - SUBTOTAL( 9, K106:K118) &gt;= 0, 0, ABS( SUBTOTAL( 9, K94:K105) - SUBTOTAL( 9, K106:K118)) ),A1)</f>
        <v>0</v>
      </c>
      <c r="L120" s="489">
        <f>IF(AND([0]!Godina=2024,MID(Osnovni_podaci!D20,3,1)="e",Osnovni_podaci!L24=5,Osnovni_podaci!G24=0,MID(Osnovni_podaci!D20,3,1)="e",MID(Osnovni_podaci!D20,8,1)="d"),IF( SUBTOTAL( 9, L94:L105) - SUBTOTAL( 9, L106:L118) &gt;= 0, 0, ABS( SUBTOTAL( 9, L94:L105) - SUBTOTAL( 9, L106:L118)) ),A1)</f>
        <v>0</v>
      </c>
      <c r="N120" s="44"/>
      <c r="P120" s="183"/>
    </row>
    <row r="121" spans="2:16" ht="22.5" customHeight="1" x14ac:dyDescent="0.2">
      <c r="B121" s="15">
        <v>239</v>
      </c>
      <c r="C121" s="66" t="str">
        <f>IF(AND([0]!Godina=2024,MID(Osnovni_podaci!D20,3,1)="e",Osnovni_podaci!L24=5,Osnovni_podaci!G24=0,MID(Osnovni_podaci!D20,3,1)="e",MID(Osnovni_podaci!D20,8,1)="d"),VLOOKUP( $B121, T_Aop[], 5, 1),A1)</f>
        <v>690 i 691</v>
      </c>
      <c r="D121" s="708" t="str">
        <f>IF(AND([0]!Godina=2024,MID(Osnovni_podaci!D20,3,1)="e",Osnovni_podaci!L24=5,Osnovni_podaci!G24=0,MID(Osnovni_podaci!D20,3,1)="e",MID(Osnovni_podaci!D20,8,1)="d"),VLOOKUP( $B121, T_Aop[], 6, 1),A1)</f>
        <v xml:space="preserve">  L. Prihodi po osnovu promjene računovodstvenih politika i ispravke grešaka iz ranijih godina </v>
      </c>
      <c r="E121" s="709"/>
      <c r="F121" s="709"/>
      <c r="G121" s="709"/>
      <c r="H121" s="710"/>
      <c r="I121" s="179">
        <f>VLOOKUP( $B121, T_Aop[], 4, 1)</f>
        <v>301</v>
      </c>
      <c r="J121" s="450"/>
      <c r="K121" s="161">
        <v>155</v>
      </c>
      <c r="L121" s="162">
        <v>6235</v>
      </c>
      <c r="N121" s="44"/>
      <c r="P121" s="183"/>
    </row>
    <row r="122" spans="2:16" ht="13.5" customHeight="1" x14ac:dyDescent="0.2">
      <c r="B122" s="15">
        <v>240</v>
      </c>
      <c r="C122" s="58" t="str">
        <f>IF(AND([0]!Godina=2024,MID(Osnovni_podaci!D20,3,1)="e",Osnovni_podaci!L24=5,Osnovni_podaci!G24=0,MID(Osnovni_podaci!D20,3,1)="e",MID(Osnovni_podaci!D20,8,1)="d"),VLOOKUP( $B122, T_Aop[], 5, 1),A1)</f>
        <v>590 i 591</v>
      </c>
      <c r="D122" s="705" t="str">
        <f>IF(AND([0]!Godina=2024,MID(Osnovni_podaci!D20,3,1)="e",Osnovni_podaci!L24=5,Osnovni_podaci!G24=0,MID(Osnovni_podaci!D20,3,1)="e",MID(Osnovni_podaci!D20,8,1)="d"),VLOOKUP( $B122, T_Aop[], 6, 1),A1)</f>
        <v xml:space="preserve">  LJ. Rashodi po osnovu promjene računovodstvenih politika i ispravke grešaka iz ranijih godina</v>
      </c>
      <c r="E122" s="706"/>
      <c r="F122" s="706"/>
      <c r="G122" s="706"/>
      <c r="H122" s="707"/>
      <c r="I122" s="178">
        <f>VLOOKUP( $B122, T_Aop[], 4, 1)</f>
        <v>302</v>
      </c>
      <c r="J122" s="452"/>
      <c r="K122" s="81">
        <f>5093+23</f>
        <v>5116</v>
      </c>
      <c r="L122" s="82">
        <v>1563</v>
      </c>
      <c r="N122" s="44"/>
      <c r="P122" s="183"/>
    </row>
    <row r="123" spans="2:16" ht="13.5" customHeight="1" x14ac:dyDescent="0.2">
      <c r="B123" s="15">
        <v>241</v>
      </c>
      <c r="C123" s="66">
        <f>IF(AND([0]!Godina=2024,MID(Osnovni_podaci!D20,3,1)="e",Osnovni_podaci!L24=5,Osnovni_podaci!G24=0,MID(Osnovni_podaci!D20,3,1)="e",MID(Osnovni_podaci!D20,8,1)="d"),VLOOKUP( $B123, T_Aop[], 5, 1),A1)</f>
        <v>0</v>
      </c>
      <c r="D123" s="702" t="str">
        <f>IF(AND([0]!Godina=2024,MID(Osnovni_podaci!D20,3,1)="e",Osnovni_podaci!L24=5,Osnovni_podaci!G24=0,MID(Osnovni_podaci!D20,3,1)="e",MID(Osnovni_podaci!D20,8,1)="d"),VLOOKUP( $B123, T_Aop[], 6, 1),A1)</f>
        <v>Udio u dobiti pridruženog društva i zajedničkog poduhvata primjenom metode udjela</v>
      </c>
      <c r="E123" s="703"/>
      <c r="F123" s="703"/>
      <c r="G123" s="703"/>
      <c r="H123" s="704"/>
      <c r="I123" s="63">
        <f>VLOOKUP( $B123, T_Aop[], 4, 1)</f>
        <v>303</v>
      </c>
      <c r="J123" s="450"/>
      <c r="K123" s="458"/>
      <c r="L123" s="459"/>
      <c r="N123" s="44"/>
      <c r="P123" s="183"/>
    </row>
    <row r="124" spans="2:16" ht="13.5" customHeight="1" x14ac:dyDescent="0.2">
      <c r="B124" s="15">
        <v>242</v>
      </c>
      <c r="C124" s="58">
        <f>IF(AND([0]!Godina=2024,MID(Osnovni_podaci!D20,3,1)="e",Osnovni_podaci!L24=5,Osnovni_podaci!G24=0,MID(Osnovni_podaci!D20,3,1)="e",MID(Osnovni_podaci!D20,8,1)="d"),VLOOKUP( $B124, T_Aop[], 5, 1),A1)</f>
        <v>0</v>
      </c>
      <c r="D124" s="699" t="str">
        <f>IF(AND([0]!Godina=2024,MID(Osnovni_podaci!D20,3,1)="e",Osnovni_podaci!L24=5,Osnovni_podaci!G24=0,MID(Osnovni_podaci!D20,3,1)="e",MID(Osnovni_podaci!D20,8,1)="d"),VLOOKUP( $B124, T_Aop[], 6, 1),A1)</f>
        <v>Udio u gubitku pridruženog društva i zajedničkog poduhvata primjenom metode udjela</v>
      </c>
      <c r="E124" s="700"/>
      <c r="F124" s="700"/>
      <c r="G124" s="700"/>
      <c r="H124" s="701"/>
      <c r="I124" s="59">
        <f>VLOOKUP( $B124, T_Aop[], 4, 1)</f>
        <v>304</v>
      </c>
      <c r="J124" s="452"/>
      <c r="K124" s="452"/>
      <c r="L124" s="453"/>
      <c r="N124" s="44"/>
      <c r="P124" s="183"/>
    </row>
    <row r="125" spans="2:16" ht="15" customHeight="1" x14ac:dyDescent="0.2">
      <c r="B125" s="15">
        <v>243</v>
      </c>
      <c r="C125" s="460">
        <f>IF(AND([0]!Godina=2024,MID(Osnovni_podaci!D20,3,1)="e",Osnovni_podaci!L24=5,Osnovni_podaci!G24=0,MID(Osnovni_podaci!D20,3,1)="e",MID(Osnovni_podaci!D20,8,1)="d"),VLOOKUP( $B125, T_Aop[], 5, 1),A1)</f>
        <v>0</v>
      </c>
      <c r="D125" s="708" t="str">
        <f>IF(AND([0]!Godina=2024,MID(Osnovni_podaci!D20,3,1)="e",Osnovni_podaci!L24=5,Osnovni_podaci!G24=0,MID(Osnovni_podaci!D20,3,1)="e",MID(Osnovni_podaci!D20,8,1)="d"),VLOOKUP( $B125, T_Aop[], 6, 1),A1)</f>
        <v xml:space="preserve">  UKUPNI PRIHODI (201+239+251+273+301+303)</v>
      </c>
      <c r="E125" s="709"/>
      <c r="F125" s="709"/>
      <c r="G125" s="709"/>
      <c r="H125" s="710"/>
      <c r="I125" s="179">
        <f>VLOOKUP( $B125, T_Aop[], 4, 1)</f>
        <v>305</v>
      </c>
      <c r="J125" s="450"/>
      <c r="K125" s="67">
        <f>IF(AND([0]!Godina=2024,MID(Osnovni_podaci!D20,3,1)="e",Osnovni_podaci!L24=5,Osnovni_podaci!G24=0,MID(Osnovni_podaci!D20,3,1)="e",MID(Osnovni_podaci!D20,8,1)="d"),SUBTOTAL(9, K22:K33, K34, K36, K38, K59:K63, K71:K80, K93:K105,K121, K123)-SUBTOTAL(9,K35,K37),A1)</f>
        <v>30063501</v>
      </c>
      <c r="L125" s="68">
        <f>IF(AND([0]!Godina=2024,MID(Osnovni_podaci!D20,3,1)="e",Osnovni_podaci!L24=5,Osnovni_podaci!G24=0,MID(Osnovni_podaci!D20,3,1)="e",MID(Osnovni_podaci!D20,8,1)="d"),SUBTOTAL(9, L22:L33, L34, L36, L38, L59:L63, L71:L80, L93:L105,L121, L123)-SUBTOTAL(9,L35,L37),A1)</f>
        <v>32013775</v>
      </c>
      <c r="N125" s="44"/>
      <c r="P125" s="183"/>
    </row>
    <row r="126" spans="2:16" ht="17.25" customHeight="1" x14ac:dyDescent="0.2">
      <c r="B126" s="15">
        <v>244</v>
      </c>
      <c r="C126" s="58">
        <f>IF(AND([0]!Godina=2024,MID(Osnovni_podaci!D20,3,1)="e",Osnovni_podaci!L24=5,Osnovni_podaci!G24=0,MID(Osnovni_podaci!D20,3,1)="e",MID(Osnovni_podaci!D20,8,1)="d"),VLOOKUP( $B126, T_Aop[], 5, 1),A1)</f>
        <v>0</v>
      </c>
      <c r="D126" s="705" t="str">
        <f>IF(AND([0]!Godina=2024,MID(Osnovni_podaci!D20,3,1)="e",Osnovni_podaci!L24=5,Osnovni_podaci!G24=0,MID(Osnovni_podaci!D20,3,1)="e",MID(Osnovni_podaci!D20,8,1)="d"),VLOOKUP( $B126, T_Aop[], 6, 1),A1)</f>
        <v xml:space="preserve">  UKUPNI RASHODI (219+244+261+286+302+304)</v>
      </c>
      <c r="E126" s="706"/>
      <c r="F126" s="706"/>
      <c r="G126" s="706"/>
      <c r="H126" s="707"/>
      <c r="I126" s="178">
        <f>VLOOKUP( $B126, T_Aop[], 4, 1)</f>
        <v>306</v>
      </c>
      <c r="J126" s="452"/>
      <c r="K126" s="253">
        <f>IF(AND([0]!Godina=2024,MID(Osnovni_podaci!D20,3,1)="e",Osnovni_podaci!L24=5,Osnovni_podaci!G24=0,MID(Osnovni_podaci!D20,3,1)="e",MID(Osnovni_podaci!D20,8,1)="d"),SUBTOTAL(9, K39:K56, K64:K68, K81:K90, K106:K118,K122,K124),A1)</f>
        <v>29546968</v>
      </c>
      <c r="L126" s="489">
        <f>IF(AND([0]!Godina=2024,MID(Osnovni_podaci!D20,3,1)="e",Osnovni_podaci!L24=5,Osnovni_podaci!G24=0,MID(Osnovni_podaci!D20,3,1)="e",MID(Osnovni_podaci!D20,8,1)="d"),SUBTOTAL(9, L39:L56, L64:L68, L81:L90, L106:L118,L122,L124),A1)</f>
        <v>28052252</v>
      </c>
      <c r="N126" s="44"/>
      <c r="P126" s="183"/>
    </row>
    <row r="127" spans="2:16" ht="23.25" customHeight="1" x14ac:dyDescent="0.2">
      <c r="B127" s="15">
        <v>245</v>
      </c>
      <c r="C127" s="66">
        <f>IF(AND([0]!Godina=2024,MID(Osnovni_podaci!D20,3,1)="e",Osnovni_podaci!L24=5,Osnovni_podaci!G24=0,MID(Osnovni_podaci!D20,3,1)="e",MID(Osnovni_podaci!D20,8,1)="d"),VLOOKUP( $B127, T_Aop[], 5, 1),A1)</f>
        <v>0</v>
      </c>
      <c r="D127" s="708" t="str">
        <f>IF(AND([0]!Godina=2024,MID(Osnovni_podaci!D20,3,1)="e",Osnovni_podaci!L24=5,Osnovni_podaci!G24=0,MID(Osnovni_podaci!D20,3,1)="e",MID(Osnovni_podaci!D20,8,1)="d"),VLOOKUP( $B127, T_Aop[], 6, 1),A1)</f>
        <v xml:space="preserve">  M. DOBIT I GUBITAK PRIJE OPOREZIVANJA
1. Dobit prije oporezivanja (305 – 306)</v>
      </c>
      <c r="E127" s="709"/>
      <c r="F127" s="709"/>
      <c r="G127" s="709"/>
      <c r="H127" s="710"/>
      <c r="I127" s="179">
        <f>VLOOKUP( $B127, T_Aop[], 4, 1)</f>
        <v>307</v>
      </c>
      <c r="J127" s="450"/>
      <c r="K127" s="67">
        <f>IF(AND([0]!Godina=2024,MID(Osnovni_podaci!D20,3,1)="e",Osnovni_podaci!L24=5,Osnovni_podaci!G24=0,MID(Osnovni_podaci!D20,3,1)="e",MID(Osnovni_podaci!D20,8,1)="d"),IF( SUBTOTAL(9, K22:K33, K34, K36, K38, K59:K63, K71:K80, K93:K105, K121, K123)- SUBTOTAL(9,K35, K37, K39:K56, K64:K68, K81:K90, K106:K118, K122, K124) &lt;=  0, 0, ABS( SUBTOTAL(9, K22:K33, K34, K36, K38, K59:K63, K71:K80, K93:K105,K121,K123)- SUBTOTAL(9,K35,K37, K39:K56, K64:K68, K81:K90, K106:K118, K122, K124))),A1)</f>
        <v>516533</v>
      </c>
      <c r="L127" s="68">
        <f>IF(AND([0]!Godina=2024,MID(Osnovni_podaci!D20,3,1)="e",Osnovni_podaci!L24=5,Osnovni_podaci!G24=0,MID(Osnovni_podaci!D20,3,1)="e",MID(Osnovni_podaci!D20,8,1)="d"),IF( SUBTOTAL(9, L22:L33, L34, L36, L38, L59:L63, L71:L80, L93:L105, L121, L123)- SUBTOTAL(9,L35, L37, L39:L56, L64:L68, L81:L90, L106:L118, L122, L124) &lt;=  0, 0, ABS( SUBTOTAL(9, L22:L33, L34, L36, L38, L59:L63, L71:L80, L93:L105,L121,L123)- SUBTOTAL(9,L35,L37, L39:L56, L64:L68, L81:L90, L106:L118, L122, L124))),A1)</f>
        <v>3961523</v>
      </c>
      <c r="N127" s="44"/>
      <c r="P127" s="183"/>
    </row>
    <row r="128" spans="2:16" ht="17.25" customHeight="1" x14ac:dyDescent="0.2">
      <c r="B128" s="15">
        <v>246</v>
      </c>
      <c r="C128" s="187">
        <f>IF(AND([0]!Godina=2024,MID(Osnovni_podaci!D20,3,1)="e",Osnovni_podaci!L24=5,Osnovni_podaci!G24=0,MID(Osnovni_podaci!D20,3,1)="e",MID(Osnovni_podaci!D20,8,1)="d"),VLOOKUP( $B128, T_Aop[], 5, 1),A1)</f>
        <v>0</v>
      </c>
      <c r="D128" s="705" t="str">
        <f>IF(AND([0]!Godina=2024,MID(Osnovni_podaci!D20,3,1)="e",Osnovni_podaci!L24=5,Osnovni_podaci!G24=0,MID(Osnovni_podaci!D20,3,1)="e",MID(Osnovni_podaci!D20,8,1)="d"),VLOOKUP( $B128, T_Aop[], 6, 1),A1)</f>
        <v xml:space="preserve">  2. Gubitak prije oporezivanja (306 – 305)</v>
      </c>
      <c r="E128" s="706"/>
      <c r="F128" s="706"/>
      <c r="G128" s="706"/>
      <c r="H128" s="707"/>
      <c r="I128" s="178">
        <f>VLOOKUP( $B128, T_Aop[], 4, 1)</f>
        <v>308</v>
      </c>
      <c r="J128" s="452"/>
      <c r="K128" s="253">
        <f>IF(AND([0]!Godina=2024,MID(Osnovni_podaci!D20,3,1)="e",Osnovni_podaci!L24=5,Osnovni_podaci!G24=0,MID(Osnovni_podaci!D20,3,1)="e",MID(Osnovni_podaci!D20,8,1)="d"),IF( SUBTOTAL(9, K22:K33, K34, K36, K38, K59:K63, K71:K80, K93:K105, K121, K123)- SUBTOTAL(9,K35, K37, K39:K56, K64:K68, K81:K90, K106:K118, K122, K124) &gt;=  0, 0, ABS( SUBTOTAL(9, K22:K33, K34, K36, K38, K59:K63, K71:K80, K93:K105,K121,K123)- SUBTOTAL(9,K35,K37, K39:K56, K64:K68, K81:K90, K106:K118, K122, K124))),A1)</f>
        <v>0</v>
      </c>
      <c r="L128" s="402">
        <f>IF(AND([0]!Godina=2024,MID(Osnovni_podaci!D20,3,1)="e",Osnovni_podaci!L24=5,Osnovni_podaci!G24=0,MID(Osnovni_podaci!D20,3,1)="e",MID(Osnovni_podaci!D20,8,1)="d"),IF(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0" t="str">
        <f>IF(AND([0]!Godina=2024,MID(Osnovni_podaci!D20,3,1)="e",Osnovni_podaci!L24=5,Osnovni_podaci!G24=0,MID(Osnovni_podaci!D20,3,1)="e",MID(Osnovni_podaci!D20,8,1)="d"),VLOOKUP( $B129, T_Aop[], 5, 1),A1)</f>
        <v>721</v>
      </c>
      <c r="D129" s="708" t="str">
        <f>IF(AND([0]!Godina=2024,MID(Osnovni_podaci!D20,3,1)="e",Osnovni_podaci!L24=5,Osnovni_podaci!G24=0,MID(Osnovni_podaci!D20,3,1)="e",MID(Osnovni_podaci!D20,8,1)="d"),VLOOKUP( $B129, T_Aop[], 6, 1),A1)</f>
        <v xml:space="preserve">  N. TEKUĆI I ODLOŽENI POREZ NA DOBIT
1. Poreski rashodi perioda </v>
      </c>
      <c r="E129" s="709"/>
      <c r="F129" s="709"/>
      <c r="G129" s="709"/>
      <c r="H129" s="710"/>
      <c r="I129" s="179">
        <f>VLOOKUP( $B129, T_Aop[], 4, 1)</f>
        <v>309</v>
      </c>
      <c r="J129" s="450"/>
      <c r="K129" s="485"/>
      <c r="L129" s="162"/>
      <c r="N129" s="44"/>
      <c r="P129" s="183"/>
    </row>
    <row r="130" spans="2:16" ht="17.25" customHeight="1" x14ac:dyDescent="0.2">
      <c r="B130" s="15">
        <v>248</v>
      </c>
      <c r="C130" s="187">
        <f>IF(AND([0]!Godina=2024,MID(Osnovni_podaci!D20,3,1)="e",Osnovni_podaci!L24=5,Osnovni_podaci!G24=0,MID(Osnovni_podaci!D20,3,1)="e",MID(Osnovni_podaci!D20,8,1)="d"),VLOOKUP( $B130, T_Aop[], 5, 1),A1)</f>
        <v>0</v>
      </c>
      <c r="D130" s="699" t="str">
        <f>IF(AND([0]!Godina=2024,MID(Osnovni_podaci!D20,3,1)="e",Osnovni_podaci!L24=5,Osnovni_podaci!G24=0,MID(Osnovni_podaci!D20,3,1)="e",MID(Osnovni_podaci!D20,8,1)="d"),VLOOKUP( $B130, T_Aop[], 6, 1),A1)</f>
        <v xml:space="preserve">    2. Odloženi poreski rashodi (311 + 312)</v>
      </c>
      <c r="E130" s="700"/>
      <c r="F130" s="700"/>
      <c r="G130" s="700"/>
      <c r="H130" s="701"/>
      <c r="I130" s="59">
        <f>VLOOKUP( $B130, T_Aop[], 4, 1)</f>
        <v>310</v>
      </c>
      <c r="J130" s="452"/>
      <c r="K130" s="490">
        <f>IF(AND([0]!Godina=2024,MID(Osnovni_podaci!D20,3,1)="e",Osnovni_podaci!L24=5,Osnovni_podaci!G24=0,MID(Osnovni_podaci!D20,3,1)="e",MID(Osnovni_podaci!D20,8,1)="d"),SUBTOTAL( 9, K131:K132),A1)</f>
        <v>0</v>
      </c>
      <c r="L130" s="455">
        <f>IF(AND([0]!Godina=2024,MID(Osnovni_podaci!D20,3,1)="e",Osnovni_podaci!L24=5,Osnovni_podaci!G24=0,MID(Osnovni_podaci!D20,3,1)="e",MID(Osnovni_podaci!D20,8,1)="d"),SUBTOTAL( 9, L131:L132),A1)</f>
        <v>0</v>
      </c>
      <c r="N130" s="44"/>
      <c r="P130" s="183"/>
    </row>
    <row r="131" spans="2:16" ht="17.25" customHeight="1" x14ac:dyDescent="0.2">
      <c r="B131" s="15">
        <v>249</v>
      </c>
      <c r="C131" s="66" t="str">
        <f>IF(AND([0]!Godina=2024,MID(Osnovni_podaci!D20,3,1)="e",Osnovni_podaci!L24=5,Osnovni_podaci!G24=0,MID(Osnovni_podaci!D20,3,1)="e",MID(Osnovni_podaci!D20,8,1)="d"),VLOOKUP( $B131, T_Aop[], 5, 1),A1)</f>
        <v>722</v>
      </c>
      <c r="D131" s="702" t="str">
        <f>IF(AND([0]!Godina=2024,MID(Osnovni_podaci!D20,3,1)="e",Osnovni_podaci!L24=5,Osnovni_podaci!G24=0,MID(Osnovni_podaci!D20,3,1)="e",MID(Osnovni_podaci!D20,8,1)="d"),VLOOKUP( $B131, T_Aop[], 6, 1),A1)</f>
        <v xml:space="preserve">      2.1   Efekat smanjenja odloženih poreskih sredstava</v>
      </c>
      <c r="E131" s="703"/>
      <c r="F131" s="703"/>
      <c r="G131" s="703"/>
      <c r="H131" s="704"/>
      <c r="I131" s="63">
        <f>VLOOKUP( $B131, T_Aop[], 4, 1)</f>
        <v>311</v>
      </c>
      <c r="J131" s="450"/>
      <c r="K131" s="486"/>
      <c r="L131" s="451"/>
      <c r="N131" s="44"/>
      <c r="P131" s="183"/>
    </row>
    <row r="132" spans="2:16" ht="17.25" customHeight="1" x14ac:dyDescent="0.2">
      <c r="B132" s="15">
        <v>250</v>
      </c>
      <c r="C132" s="58" t="str">
        <f>IF(AND([0]!Godina=2024,MID(Osnovni_podaci!D20,3,1)="e",Osnovni_podaci!L24=5,Osnovni_podaci!G24=0,MID(Osnovni_podaci!D20,3,1)="e",MID(Osnovni_podaci!D20,8,1)="d"),VLOOKUP( $B132, T_Aop[], 5, 1),A1)</f>
        <v>724</v>
      </c>
      <c r="D132" s="699" t="str">
        <f>IF(AND([0]!Godina=2024,MID(Osnovni_podaci!D20,3,1)="e",Osnovni_podaci!L24=5,Osnovni_podaci!G24=0,MID(Osnovni_podaci!D20,3,1)="e",MID(Osnovni_podaci!D20,8,1)="d"),VLOOKUP( $B132, T_Aop[], 6, 1),A1)</f>
        <v xml:space="preserve">      2.2   Efekat povećanja odloženih poreskih obaveza</v>
      </c>
      <c r="E132" s="700"/>
      <c r="F132" s="700"/>
      <c r="G132" s="700"/>
      <c r="H132" s="701"/>
      <c r="I132" s="59">
        <f>VLOOKUP( $B132, T_Aop[], 4, 1)</f>
        <v>312</v>
      </c>
      <c r="J132" s="452"/>
      <c r="K132" s="491"/>
      <c r="L132" s="156"/>
      <c r="N132" s="44"/>
      <c r="P132" s="183"/>
    </row>
    <row r="133" spans="2:16" ht="17.25" customHeight="1" x14ac:dyDescent="0.2">
      <c r="B133" s="15">
        <v>251</v>
      </c>
      <c r="C133" s="66">
        <f>IF(AND([0]!Godina=2024,MID(Osnovni_podaci!D20,3,1)="e",Osnovni_podaci!L24=5,Osnovni_podaci!G24=0,MID(Osnovni_podaci!D20,3,1)="e",MID(Osnovni_podaci!D20,8,1)="d"),VLOOKUP( $B133, T_Aop[], 5, 1),A1)</f>
        <v>0</v>
      </c>
      <c r="D133" s="702" t="str">
        <f>IF(AND([0]!Godina=2024,MID(Osnovni_podaci!D20,3,1)="e",Osnovni_podaci!L24=5,Osnovni_podaci!G24=0,MID(Osnovni_podaci!D20,3,1)="e",MID(Osnovni_podaci!D20,8,1)="d"),VLOOKUP( $B133, T_Aop[], 6, 1),A1)</f>
        <v xml:space="preserve">    3. Odloženi poreski prihodi (314 + 315)</v>
      </c>
      <c r="E133" s="703"/>
      <c r="F133" s="703"/>
      <c r="G133" s="703"/>
      <c r="H133" s="704"/>
      <c r="I133" s="63">
        <f>VLOOKUP( $B133, T_Aop[], 4, 1)</f>
        <v>313</v>
      </c>
      <c r="J133" s="450"/>
      <c r="K133" s="492">
        <f>IF(AND([0]!Godina=2024,MID(Osnovni_podaci!D20,3,1)="e",Osnovni_podaci!L24=5,Osnovni_podaci!G24=0,MID(Osnovni_podaci!D20,3,1)="e",MID(Osnovni_podaci!D20,8,1)="d"),SUBTOTAL( 9, K134:K135),A1)</f>
        <v>0</v>
      </c>
      <c r="L133" s="457">
        <f>IF(AND([0]!Godina=2024,MID(Osnovni_podaci!D20,3,1)="e",Osnovni_podaci!L24=5,Osnovni_podaci!G24=0,MID(Osnovni_podaci!D20,3,1)="e",MID(Osnovni_podaci!D20,8,1)="d"),SUBTOTAL( 9, L134:L135),A1)</f>
        <v>0</v>
      </c>
      <c r="N133" s="44"/>
      <c r="P133" s="183"/>
    </row>
    <row r="134" spans="2:16" ht="13.5" customHeight="1" x14ac:dyDescent="0.2">
      <c r="B134" s="15">
        <v>252</v>
      </c>
      <c r="C134" s="58" t="str">
        <f>IF(AND([0]!Godina=2024,MID(Osnovni_podaci!D20,3,1)="e",Osnovni_podaci!L24=5,Osnovni_podaci!G24=0,MID(Osnovni_podaci!D20,3,1)="e",MID(Osnovni_podaci!D20,8,1)="d"),VLOOKUP( $B134, T_Aop[], 5, 1),A1)</f>
        <v>723</v>
      </c>
      <c r="D134" s="699" t="str">
        <f>IF(AND([0]!Godina=2024,MID(Osnovni_podaci!D20,3,1)="e",Osnovni_podaci!L24=5,Osnovni_podaci!G24=0,MID(Osnovni_podaci!D20,3,1)="e",MID(Osnovni_podaci!D20,8,1)="d"),VLOOKUP( $B134, T_Aop[], 6, 1),A1)</f>
        <v xml:space="preserve">      3.1 Efekat povećanja odloženih poreskih sredstava</v>
      </c>
      <c r="E134" s="700"/>
      <c r="F134" s="700"/>
      <c r="G134" s="700"/>
      <c r="H134" s="701"/>
      <c r="I134" s="59">
        <f>VLOOKUP( $B134, T_Aop[], 4, 1)</f>
        <v>314</v>
      </c>
      <c r="J134" s="452"/>
      <c r="K134" s="424"/>
      <c r="L134" s="156"/>
      <c r="N134" s="44"/>
      <c r="P134" s="183"/>
    </row>
    <row r="135" spans="2:16" ht="13.5" customHeight="1" x14ac:dyDescent="0.2">
      <c r="B135" s="15">
        <v>253</v>
      </c>
      <c r="C135" s="66" t="str">
        <f>IF(AND([0]!Godina=2024,MID(Osnovni_podaci!D20,3,1)="e",Osnovni_podaci!L24=5,Osnovni_podaci!G24=0,MID(Osnovni_podaci!D20,3,1)="e",MID(Osnovni_podaci!D20,8,1)="d"),VLOOKUP( $B135, T_Aop[], 5, 1),A1)</f>
        <v>725</v>
      </c>
      <c r="D135" s="702" t="str">
        <f>IF(AND([0]!Godina=2024,MID(Osnovni_podaci!D20,3,1)="e",Osnovni_podaci!L24=5,Osnovni_podaci!G24=0,MID(Osnovni_podaci!D20,3,1)="e",MID(Osnovni_podaci!D20,8,1)="d"),VLOOKUP( $B135, T_Aop[], 6, 1),A1)</f>
        <v xml:space="preserve">      3.2 Efekat smanjenja odloženih poreskih obaveza</v>
      </c>
      <c r="E135" s="703"/>
      <c r="F135" s="703"/>
      <c r="G135" s="703"/>
      <c r="H135" s="704"/>
      <c r="I135" s="63">
        <f>VLOOKUP( $B135, T_Aop[], 4, 1)</f>
        <v>315</v>
      </c>
      <c r="J135" s="450"/>
      <c r="K135" s="450"/>
      <c r="L135" s="451"/>
      <c r="N135" s="44"/>
      <c r="P135" s="183"/>
    </row>
    <row r="136" spans="2:16" ht="24" customHeight="1" x14ac:dyDescent="0.2">
      <c r="B136" s="15">
        <v>254</v>
      </c>
      <c r="C136" s="58">
        <f>IF(AND([0]!Godina=2024,MID(Osnovni_podaci!D20,3,1)="e",Osnovni_podaci!L24=5,Osnovni_podaci!G24=0,MID(Osnovni_podaci!D20,3,1)="e",MID(Osnovni_podaci!D20,8,1)="d"),VLOOKUP( $B136, T_Aop[], 5, 1),A1)</f>
        <v>0</v>
      </c>
      <c r="D136" s="705" t="str">
        <f>IF(AND([0]!Godina=2024,MID(Osnovni_podaci!D20,3,1)="e",Osnovni_podaci!L24=5,Osnovni_podaci!G24=0,MID(Osnovni_podaci!D20,3,1)="e",MID(Osnovni_podaci!D20,8,1)="d"),VLOOKUP( $B136, T_Aop[], 6, 1),A1)</f>
        <v xml:space="preserve">  NJ. NETO DOBIT I NETO GUBITAK PERIODA
 1. Neto dobit tekuće godine (307-309-310+313)&gt;0 i 307&gt;0 ili (313-308-309-310)&gt;0 i 308&gt;0</v>
      </c>
      <c r="E136" s="706"/>
      <c r="F136" s="706"/>
      <c r="G136" s="706"/>
      <c r="H136" s="707"/>
      <c r="I136" s="178">
        <f>VLOOKUP( $B136, T_Aop[], 4, 1)</f>
        <v>316</v>
      </c>
      <c r="J136" s="452"/>
      <c r="K136" s="253">
        <f>IF(AND([0]!Godina=2024,MID(Osnovni_podaci!D20,3,1)="e",Osnovni_podaci!L24=5,Osnovni_podaci!G24=0,MID(Osnovni_podaci!D20,3,1)="e",MID(Osnovni_podaci!D20,8,1)="d"),IF(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516533</v>
      </c>
      <c r="L136" s="402">
        <f>IF(AND([0]!Godina=2024,MID(Osnovni_podaci!D20,3,1)="e",Osnovni_podaci!L24=5,Osnovni_podaci!G24=0,MID(Osnovni_podaci!D20,3,1)="e",MID(Osnovni_podaci!D20,8,1)="d"),IF(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3961523</v>
      </c>
      <c r="N136" s="44"/>
      <c r="P136" s="183"/>
    </row>
    <row r="137" spans="2:16" ht="15" customHeight="1" x14ac:dyDescent="0.2">
      <c r="B137" s="15">
        <v>255</v>
      </c>
      <c r="C137" s="66" t="str">
        <f>IF(AND([0]!Godina=2024,MID(Osnovni_podaci!D20,3,1)="e",Osnovni_podaci!L24=5,Osnovni_podaci!G24=0,MID(Osnovni_podaci!D20,3,1)="e",MID(Osnovni_podaci!D20,8,1)="d"),VLOOKUP( $B137, T_Aop[], 5, 1),A1)</f>
        <v xml:space="preserve"> </v>
      </c>
      <c r="D137" s="708" t="str">
        <f>IF(AND([0]!Godina=2024,MID(Osnovni_podaci!D20,3,1)="e",Osnovni_podaci!L24=5,Osnovni_podaci!G24=0,MID(Osnovni_podaci!D20,3,1)="e",MID(Osnovni_podaci!D20,8,1)="d"),VLOOKUP( $B137, T_Aop[], 6, 1),A1)</f>
        <v>2. Neto gubitak tekuće godine (308+309+310-313)&gt;0 i 308&gt;0 ili (309+310-307-313)&gt;0 i 307&gt;0</v>
      </c>
      <c r="E137" s="709"/>
      <c r="F137" s="709"/>
      <c r="G137" s="709"/>
      <c r="H137" s="710"/>
      <c r="I137" s="179">
        <f>VLOOKUP( $B137, T_Aop[], 4, 1)</f>
        <v>317</v>
      </c>
      <c r="J137" s="450"/>
      <c r="K137" s="67">
        <f>IF(AND([0]!Godina=2024,MID(Osnovni_podaci!D20,3,1)="e",Osnovni_podaci!L24=5,Osnovni_podaci!G24=0,MID(Osnovni_podaci!D20,3,1)="e",MID(Osnovni_podaci!D20,8,1)="d"),IF(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IF(AND([0]!Godina=2024,MID(Osnovni_podaci!D20,3,1)="e",Osnovni_podaci!L24=5,Osnovni_podaci!G24=0,MID(Osnovni_podaci!D20,3,1)="e",MID(Osnovni_podaci!D20,8,1)="d"),IF(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IF(AND([0]!Godina=2024,MID(Osnovni_podaci!D20,3,1)="e",Osnovni_podaci!L24=5,Osnovni_podaci!G24=0,MID(Osnovni_podaci!D20,3,1)="e",MID(Osnovni_podaci!D20,8,1)="d"),VLOOKUP( $B138, T_Aop[], 5, 1),A1)</f>
        <v>726</v>
      </c>
      <c r="D138" s="699" t="str">
        <f>IF(AND([0]!Godina=2024,MID(Osnovni_podaci!D20,3,1)="e",Osnovni_podaci!L24=5,Osnovni_podaci!G24=0,MID(Osnovni_podaci!D20,3,1)="e",MID(Osnovni_podaci!D20,8,1)="d"),VLOOKUP( $B138, T_Aop[], 6, 1),A1)</f>
        <v xml:space="preserve">  O. Međudividende i drugi vidovi raspodjele dobitka u toku perioda</v>
      </c>
      <c r="E138" s="700"/>
      <c r="F138" s="700"/>
      <c r="G138" s="700"/>
      <c r="H138" s="701"/>
      <c r="I138" s="59">
        <f>VLOOKUP( $B138, T_Aop[], 4, 1)</f>
        <v>318</v>
      </c>
      <c r="J138" s="452"/>
      <c r="K138" s="452"/>
      <c r="L138" s="453"/>
      <c r="N138" s="44"/>
      <c r="P138" s="183"/>
    </row>
    <row r="139" spans="2:16" ht="15" customHeight="1" x14ac:dyDescent="0.2">
      <c r="B139" s="15">
        <v>257</v>
      </c>
      <c r="C139" s="66">
        <f>IF(AND([0]!Godina=2024,MID(Osnovni_podaci!D20,3,1)="e",Osnovni_podaci!L24=5,Osnovni_podaci!G24=0,MID(Osnovni_podaci!D20,3,1)="e",MID(Osnovni_podaci!D20,8,1)="d"),VLOOKUP( $B139, T_Aop[], 5, 1),A1)</f>
        <v>0</v>
      </c>
      <c r="D139" s="702" t="str">
        <f>IF(AND([0]!Godina=2024,MID(Osnovni_podaci!D20,3,1)="e",Osnovni_podaci!L24=5,Osnovni_podaci!G24=0,MID(Osnovni_podaci!D20,3,1)="e",MID(Osnovni_podaci!D20,8,1)="d"),VLOOKUP( $B139, T_Aop[], 6, 1),A1)</f>
        <v>Dio neto dobiti/gubitka koji pripada većinskim vlasnicima</v>
      </c>
      <c r="E139" s="703"/>
      <c r="F139" s="703"/>
      <c r="G139" s="703"/>
      <c r="H139" s="704"/>
      <c r="I139" s="63">
        <f>VLOOKUP( $B139, T_Aop[], 4, 1)</f>
        <v>319</v>
      </c>
      <c r="J139" s="450"/>
      <c r="K139" s="458"/>
      <c r="L139" s="459"/>
      <c r="N139" s="44"/>
      <c r="P139" s="183"/>
    </row>
    <row r="140" spans="2:16" ht="15" customHeight="1" x14ac:dyDescent="0.2">
      <c r="B140" s="15">
        <v>258</v>
      </c>
      <c r="C140" s="58">
        <f>IF(AND([0]!Godina=2024,MID(Osnovni_podaci!D20,3,1)="e",Osnovni_podaci!L24=5,Osnovni_podaci!G24=0,MID(Osnovni_podaci!D20,3,1)="e",MID(Osnovni_podaci!D20,8,1)="d"),VLOOKUP( $B140, T_Aop[], 5, 1),A1)</f>
        <v>0</v>
      </c>
      <c r="D140" s="699" t="str">
        <f>IF(AND([0]!Godina=2024,MID(Osnovni_podaci!D20,3,1)="e",Osnovni_podaci!L24=5,Osnovni_podaci!G24=0,MID(Osnovni_podaci!D20,3,1)="e",MID(Osnovni_podaci!D20,8,1)="d"),VLOOKUP( $B140, T_Aop[], 6, 1),A1)</f>
        <v>Dio neto dobiti/gubitka koji pripada manjinskim vlasnicima</v>
      </c>
      <c r="E140" s="700"/>
      <c r="F140" s="700"/>
      <c r="G140" s="700"/>
      <c r="H140" s="701"/>
      <c r="I140" s="59">
        <f>VLOOKUP( $B140, T_Aop[], 4, 1)</f>
        <v>320</v>
      </c>
      <c r="J140" s="452"/>
      <c r="K140" s="452"/>
      <c r="L140" s="453"/>
      <c r="N140" s="44"/>
      <c r="P140" s="183"/>
    </row>
    <row r="141" spans="2:16" ht="15" customHeight="1" x14ac:dyDescent="0.2">
      <c r="B141" s="15">
        <v>259</v>
      </c>
      <c r="C141" s="66">
        <f>IF(AND([0]!Godina=2024,MID(Osnovni_podaci!D20,3,1)="e",Osnovni_podaci!L24=5,Osnovni_podaci!G24=0,MID(Osnovni_podaci!D20,3,1)="e",MID(Osnovni_podaci!D20,8,1)="d"),VLOOKUP( $B141, T_Aop[], 5, 1),A1)</f>
        <v>0</v>
      </c>
      <c r="D141" s="702" t="str">
        <f>IF(AND([0]!Godina=2024,MID(Osnovni_podaci!D20,3,1)="e",Osnovni_podaci!L24=5,Osnovni_podaci!G24=0,MID(Osnovni_podaci!D20,3,1)="e",MID(Osnovni_podaci!D20,8,1)="d"),VLOOKUP( $B141, T_Aop[], 6, 1),A1)</f>
        <v>Obična zarada po akciji</v>
      </c>
      <c r="E141" s="703"/>
      <c r="F141" s="703"/>
      <c r="G141" s="703"/>
      <c r="H141" s="704"/>
      <c r="I141" s="63">
        <f>VLOOKUP( $B141, T_Aop[], 4, 1)</f>
        <v>321</v>
      </c>
      <c r="J141" s="450"/>
      <c r="K141" s="482"/>
      <c r="L141" s="483"/>
      <c r="N141" s="44"/>
      <c r="P141" s="183"/>
    </row>
    <row r="142" spans="2:16" ht="15" customHeight="1" x14ac:dyDescent="0.2">
      <c r="B142" s="15">
        <v>260</v>
      </c>
      <c r="C142" s="440">
        <f>IF(AND([0]!Godina=2024,MID(Osnovni_podaci!D20,3,1)="e",Osnovni_podaci!L24=5,Osnovni_podaci!G24=0,MID(Osnovni_podaci!D20,3,1)="e",MID(Osnovni_podaci!D20,8,1)="d"),VLOOKUP( $B142, T_Aop[], 5, 1),A1)</f>
        <v>0</v>
      </c>
      <c r="D142" s="711" t="str">
        <f>IF(AND([0]!Godina=2024,MID(Osnovni_podaci!D20,3,1)="e",Osnovni_podaci!L24=5,Osnovni_podaci!G24=0,MID(Osnovni_podaci!D20,3,1)="e",MID(Osnovni_podaci!D20,8,1)="d"),VLOOKUP( $B142, T_Aop[], 6, 1),A1)</f>
        <v>Razrijeđena zarada po akciji</v>
      </c>
      <c r="E142" s="712"/>
      <c r="F142" s="712"/>
      <c r="G142" s="712"/>
      <c r="H142" s="713"/>
      <c r="I142" s="59">
        <f>VLOOKUP( $B142, T_Aop[], 4, 1)</f>
        <v>322</v>
      </c>
      <c r="J142" s="452"/>
      <c r="K142" s="524"/>
      <c r="L142" s="525"/>
      <c r="N142" s="44"/>
      <c r="P142" s="183"/>
    </row>
    <row r="143" spans="2:16" ht="15" customHeight="1" x14ac:dyDescent="0.2">
      <c r="B143" s="15">
        <v>261</v>
      </c>
      <c r="C143" s="442">
        <f>IF(AND([0]!Godina=2024,MID(Osnovni_podaci!D20,3,1)="e",Osnovni_podaci!L24=5,Osnovni_podaci!G24=0,MID(Osnovni_podaci!D20,3,1)="e",MID(Osnovni_podaci!D20,8,1)="d"),VLOOKUP( $B143, T_Aop[], 5, 1),A1)</f>
        <v>0</v>
      </c>
      <c r="D143" s="714" t="str">
        <f>IF(AND([0]!Godina=2024,MID(Osnovni_podaci!D20,3,1)="e",Osnovni_podaci!L24=5,Osnovni_podaci!G24=0,MID(Osnovni_podaci!D20,3,1)="e",MID(Osnovni_podaci!D20,8,1)="d"),VLOOKUP( $B143, T_Aop[], 6, 1),A1)</f>
        <v>Prosječan broj zaposlenih po osnovu časova rada</v>
      </c>
      <c r="E143" s="715"/>
      <c r="F143" s="715"/>
      <c r="G143" s="715"/>
      <c r="H143" s="716"/>
      <c r="I143" s="63">
        <f>VLOOKUP( $B143, T_Aop[], 4, 1)</f>
        <v>323</v>
      </c>
      <c r="J143" s="450"/>
      <c r="K143" s="478">
        <f>414+48</f>
        <v>462</v>
      </c>
      <c r="L143" s="479">
        <v>468</v>
      </c>
      <c r="N143" s="44"/>
      <c r="P143" s="183"/>
    </row>
    <row r="144" spans="2:16" ht="15" customHeight="1" x14ac:dyDescent="0.2">
      <c r="B144" s="15">
        <v>262</v>
      </c>
      <c r="C144" s="444">
        <f>IF(AND([0]!Godina=2024,MID(Osnovni_podaci!D20,3,1)="e",Osnovni_podaci!L24=5,Osnovni_podaci!G24=0,MID(Osnovni_podaci!D20,3,1)="e",MID(Osnovni_podaci!D20,8,1)="d"),VLOOKUP( $B144, T_Aop[], 5, 1),A1)</f>
        <v>0</v>
      </c>
      <c r="D144" s="692" t="str">
        <f>IF(AND([0]!Godina=2024,MID(Osnovni_podaci!D20,3,1)="e",Osnovni_podaci!L24=5,Osnovni_podaci!G24=0,MID(Osnovni_podaci!D20,3,1)="e",MID(Osnovni_podaci!D20,8,1)="d"),VLOOKUP( $B144, T_Aop[], 6, 1),A1)</f>
        <v>Prosječan broj zaposlenih po osnovu stanja na kraju mjeseca</v>
      </c>
      <c r="E144" s="693"/>
      <c r="F144" s="693"/>
      <c r="G144" s="693"/>
      <c r="H144" s="694"/>
      <c r="I144" s="186">
        <f>VLOOKUP( $B144, T_Aop[], 4, 1)</f>
        <v>324</v>
      </c>
      <c r="J144" s="493"/>
      <c r="K144" s="480">
        <f>408+47</f>
        <v>455</v>
      </c>
      <c r="L144" s="481">
        <v>454</v>
      </c>
      <c r="N144" s="44"/>
      <c r="P144" s="183"/>
    </row>
    <row r="145" spans="2:12" ht="15" customHeight="1" x14ac:dyDescent="0.2">
      <c r="B145" s="15"/>
      <c r="C145" s="37"/>
      <c r="D145" s="40"/>
      <c r="E145" s="40"/>
      <c r="F145" s="40"/>
      <c r="G145" s="40"/>
      <c r="H145" s="40"/>
      <c r="I145" s="232"/>
    </row>
    <row r="146" spans="2:12" ht="15" customHeight="1" x14ac:dyDescent="0.2">
      <c r="B146" s="15"/>
      <c r="C146" s="180" t="str">
        <f>Podnozje_U</f>
        <v>U:</v>
      </c>
      <c r="D146" s="418" t="str">
        <f>Podatak_U</f>
        <v>Obavezan unos podataka u formi!</v>
      </c>
      <c r="E146"/>
      <c r="F146" s="56" t="str">
        <f>Podnozje_Lice_sa_licencom</f>
        <v>Lice sa licencom:</v>
      </c>
      <c r="G146" s="8" t="str">
        <f>Podatak_Lice_sa_licencom</f>
        <v>Slobodan Butulija</v>
      </c>
      <c r="I146" s="37" t="str">
        <f>Podnozje_MP</f>
        <v>(M.P.)</v>
      </c>
    </row>
    <row r="147" spans="2:12" ht="15" customHeight="1" x14ac:dyDescent="0.2">
      <c r="B147" s="15"/>
      <c r="C147" s="28"/>
      <c r="D147" s="127"/>
      <c r="E147" t="s">
        <v>786</v>
      </c>
      <c r="F147" s="615"/>
      <c r="G147" s="615"/>
      <c r="I147" s="78"/>
      <c r="J147" s="614" t="str">
        <f>Podnozje_Direktor</f>
        <v>Lice ovlašćeno za zastupanje:</v>
      </c>
      <c r="K147" s="614"/>
      <c r="L147" s="614"/>
    </row>
    <row r="148" spans="2:12" ht="15" customHeight="1" x14ac:dyDescent="0.2">
      <c r="B148" s="15"/>
      <c r="C148" s="180" t="str">
        <f>Podnozje_Dana</f>
        <v>Dana:</v>
      </c>
      <c r="D148" s="417" t="str">
        <f>Podatak_Dana</f>
        <v>31.10.2024.</v>
      </c>
      <c r="E148"/>
      <c r="F148" s="40" t="str">
        <f>Podnozje_Broj_licence</f>
        <v>Broj licence:</v>
      </c>
      <c r="G148" t="str">
        <f>Podatak_Broj_Licence</f>
        <v>0029/24</v>
      </c>
      <c r="J148" s="9"/>
      <c r="K148" s="719" t="str">
        <f>Podatak_Direktor</f>
        <v>Aco Stanišić ma. ecc</v>
      </c>
      <c r="L148" s="719"/>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18"/>
      <c r="H152" s="718"/>
      <c r="I152" s="232"/>
      <c r="K152" s="261"/>
      <c r="L152" s="261"/>
    </row>
    <row r="153" spans="2:12" ht="27.75" customHeight="1" x14ac:dyDescent="0.2"/>
    <row r="161" x14ac:dyDescent="0.2"/>
  </sheetData>
  <sheetProtection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90:H90"/>
    <mergeCell ref="D91:H91"/>
    <mergeCell ref="D92:H92"/>
    <mergeCell ref="D93:H93"/>
    <mergeCell ref="D94:H94"/>
    <mergeCell ref="D95:H95"/>
    <mergeCell ref="D84:H84"/>
    <mergeCell ref="D85:H85"/>
    <mergeCell ref="D86:H86"/>
    <mergeCell ref="D87:H87"/>
    <mergeCell ref="D88:H88"/>
    <mergeCell ref="D89:H8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C5:E6"/>
    <mergeCell ref="C7:E7"/>
    <mergeCell ref="D8:E8"/>
    <mergeCell ref="C9:E9"/>
    <mergeCell ref="C10:E10"/>
    <mergeCell ref="C12:E12"/>
    <mergeCell ref="C11:E11"/>
    <mergeCell ref="C13:E13"/>
    <mergeCell ref="I18:I19"/>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SheetLayoutView="100" workbookViewId="0">
      <pane xSplit="12" ySplit="4" topLeftCell="M20" activePane="bottomRight" state="frozen"/>
      <selection activeCell="S33" sqref="S33"/>
      <selection pane="topRight" activeCell="S33" sqref="S33"/>
      <selection pane="bottomLeft" activeCell="S33" sqref="S33"/>
      <selection pane="bottomRight" activeCell="D37" sqref="D37:H37"/>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60" t="str">
        <f>Zaglavlje_Naziv_preduzeca</f>
        <v xml:space="preserve">Naziv privrednog društva, zadruge, drugog pravnog lica ili preduzetnika: </v>
      </c>
      <c r="D5" s="660"/>
      <c r="E5" s="660"/>
      <c r="L5" s="391" t="str">
        <f>Podatak_MB</f>
        <v>01814788</v>
      </c>
    </row>
    <row r="6" spans="2:12" ht="12.75" customHeight="1" x14ac:dyDescent="0.2">
      <c r="B6" s="15"/>
      <c r="C6" s="660"/>
      <c r="D6" s="660"/>
      <c r="E6" s="660"/>
      <c r="F6" s="9"/>
      <c r="L6" s="420" t="str">
        <f>Zaglavlje_MB</f>
        <v>Matični broj</v>
      </c>
    </row>
    <row r="7" spans="2:12" ht="12.75" customHeight="1" x14ac:dyDescent="0.2">
      <c r="B7" s="15"/>
      <c r="C7" s="749" t="str">
        <f>Podatak_Naziv_preduzeca</f>
        <v>Elektrodistribucija a.d. Pale</v>
      </c>
      <c r="D7" s="749"/>
      <c r="E7" s="749"/>
      <c r="F7" s="749"/>
      <c r="L7" s="391" t="str">
        <f>Podatak_Sifra_djelatnosti</f>
        <v>35.13</v>
      </c>
    </row>
    <row r="8" spans="2:12" ht="12.75" customHeight="1" x14ac:dyDescent="0.2">
      <c r="B8" s="15"/>
      <c r="C8" s="125" t="str">
        <f>Zaglavlje_Sjediste</f>
        <v>Sjedište:</v>
      </c>
      <c r="D8" s="751" t="str">
        <f>Podatak_Sjediste</f>
        <v>Pale</v>
      </c>
      <c r="E8" s="751"/>
      <c r="F8" s="751"/>
      <c r="L8" s="420" t="str">
        <f>Zaglavlje_Sifra_djelatnosti</f>
        <v>Šifra djelatnosti</v>
      </c>
    </row>
    <row r="9" spans="2:12" ht="12.75" customHeight="1" x14ac:dyDescent="0.2">
      <c r="B9" s="15"/>
      <c r="C9" s="671" t="str">
        <f>Zaglavlje_Ziro_racun</f>
        <v>Račun kod ovlašćene organizacije za platni promet:</v>
      </c>
      <c r="D9" s="671"/>
      <c r="E9" s="671"/>
      <c r="F9" s="243"/>
      <c r="L9" s="391" t="str">
        <f>Podatak_JIB</f>
        <v>4400570050004</v>
      </c>
    </row>
    <row r="10" spans="2:12" ht="12.75" customHeight="1" x14ac:dyDescent="0.2">
      <c r="B10" s="15"/>
      <c r="C10" s="750" t="str">
        <f>Podatak_Ziro_racun_1</f>
        <v>562-012-00002669-48</v>
      </c>
      <c r="D10" s="750"/>
      <c r="E10" s="750"/>
      <c r="F10" s="750"/>
      <c r="K10" s="748" t="str">
        <f>Zaglavlje_JIB</f>
        <v>JIB</v>
      </c>
      <c r="L10" s="748"/>
    </row>
    <row r="11" spans="2:12" ht="12.75" customHeight="1" x14ac:dyDescent="0.2">
      <c r="B11" s="15"/>
      <c r="C11" s="750" t="str">
        <f>Podatak_Ziro_racun_2</f>
        <v>555-002-00004363-23</v>
      </c>
      <c r="D11" s="750"/>
      <c r="E11" s="750"/>
      <c r="F11" s="750"/>
    </row>
    <row r="12" spans="2:12" ht="12.75" customHeight="1" x14ac:dyDescent="0.2">
      <c r="B12" s="15"/>
      <c r="C12" s="717" t="str">
        <f>Podatak_Ziro_racun_3</f>
        <v>567-491-10000002-86</v>
      </c>
      <c r="D12" s="717"/>
      <c r="E12" s="717"/>
      <c r="F12" s="717"/>
    </row>
    <row r="13" spans="2:12" ht="12.75" customHeight="1" x14ac:dyDescent="0.2">
      <c r="B13" s="15"/>
      <c r="C13" s="717" t="str">
        <f>Podatak_Ziro_racun_4</f>
        <v/>
      </c>
      <c r="D13" s="717"/>
      <c r="E13" s="717"/>
      <c r="F13" s="717"/>
      <c r="G13" s="18"/>
      <c r="H13" s="18"/>
      <c r="I13" s="18"/>
      <c r="J13"/>
      <c r="K13"/>
    </row>
    <row r="14" spans="2:12" ht="15.75" customHeight="1" x14ac:dyDescent="0.2">
      <c r="B14" s="15"/>
      <c r="C14" s="685" t="str">
        <f>IF( Id_Konsolidovani, Nazivi_bilansa_Konsolidovani_naziv &amp; LOWER( Nazivi_bilansa_BUb), Nazivi_bilansa_BUb)</f>
        <v>Konsolidovani izvještaj</v>
      </c>
      <c r="D14" s="685"/>
      <c r="E14" s="685"/>
      <c r="F14" s="685"/>
      <c r="G14" s="685"/>
      <c r="H14" s="685"/>
      <c r="I14" s="685"/>
      <c r="J14" s="685"/>
      <c r="K14" s="685"/>
      <c r="L14" s="685"/>
    </row>
    <row r="15" spans="2:12" ht="14.25" x14ac:dyDescent="0.2">
      <c r="B15" s="15"/>
      <c r="C15" s="752" t="str">
        <f>Nazivi_bilansa_BUb1</f>
        <v>o ostalom rezultatu u periodu</v>
      </c>
      <c r="D15" s="752"/>
      <c r="E15" s="752"/>
      <c r="F15" s="752"/>
      <c r="G15" s="752"/>
      <c r="H15" s="752"/>
      <c r="I15" s="752"/>
      <c r="J15" s="752"/>
      <c r="K15" s="752"/>
      <c r="L15" s="752"/>
    </row>
    <row r="16" spans="2:12" ht="12.75" customHeight="1" x14ac:dyDescent="0.2">
      <c r="B16" s="15"/>
      <c r="C16" s="670" t="str">
        <f>Datumi_Datum_BU</f>
        <v>za period od 01.01. do 30.09.2024. godine</v>
      </c>
      <c r="D16" s="670"/>
      <c r="E16" s="670"/>
      <c r="F16" s="670"/>
      <c r="G16" s="670"/>
      <c r="H16" s="670"/>
      <c r="I16" s="670"/>
      <c r="J16" s="670"/>
      <c r="K16" s="670"/>
      <c r="L16" s="670"/>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42" t="str">
        <f>Tabele_zaglavlje_Grupa_racuna</f>
        <v>Grupa računa, račun</v>
      </c>
      <c r="D18" s="744" t="str">
        <f>Tabele_zaglavlje_Pozicija</f>
        <v>POZICIJA</v>
      </c>
      <c r="E18" s="744"/>
      <c r="F18" s="744"/>
      <c r="G18" s="744"/>
      <c r="H18" s="744"/>
      <c r="I18" s="753" t="str">
        <f>Tabele_zaglavlje_Oznaka_aop</f>
        <v>Oznaka za AOP</v>
      </c>
      <c r="J18" s="753" t="str">
        <f>Tabele_zaglavlje_Napomena_aop</f>
        <v>Napomena</v>
      </c>
      <c r="K18" s="697" t="str">
        <f>Tabele_zaglavlje_Iznos</f>
        <v>Iznos</v>
      </c>
      <c r="L18" s="755"/>
    </row>
    <row r="19" spans="2:16" ht="25.5" customHeight="1" x14ac:dyDescent="0.2">
      <c r="B19" s="15"/>
      <c r="C19" s="743"/>
      <c r="D19" s="745"/>
      <c r="E19" s="745"/>
      <c r="F19" s="745"/>
      <c r="G19" s="745"/>
      <c r="H19" s="745"/>
      <c r="I19" s="754"/>
      <c r="J19" s="754"/>
      <c r="K19" s="42" t="str">
        <f>Tabele_zaglavlje_Tekuca_godina</f>
        <v>Tekuća godina</v>
      </c>
      <c r="L19" s="43" t="str">
        <f>Tabele_zaglavlje_Prethodna_godina</f>
        <v>Prethodna godina</v>
      </c>
      <c r="P19" s="134" t="s">
        <v>490</v>
      </c>
    </row>
    <row r="20" spans="2:16" ht="12.75" customHeight="1" x14ac:dyDescent="0.2">
      <c r="B20" s="12" t="s">
        <v>123</v>
      </c>
      <c r="C20" s="69">
        <v>1</v>
      </c>
      <c r="D20" s="746">
        <v>2</v>
      </c>
      <c r="E20" s="746"/>
      <c r="F20" s="746"/>
      <c r="G20" s="746"/>
      <c r="H20" s="746"/>
      <c r="I20" s="70">
        <v>3</v>
      </c>
      <c r="J20" s="70">
        <v>4</v>
      </c>
      <c r="K20" s="70">
        <v>5</v>
      </c>
      <c r="L20" s="408">
        <v>6</v>
      </c>
    </row>
    <row r="21" spans="2:16" ht="12.75" customHeight="1" x14ac:dyDescent="0.2">
      <c r="B21" s="15">
        <v>263</v>
      </c>
      <c r="C21" s="72">
        <f>VLOOKUP( $B21, T_Aop[], 5, 1)</f>
        <v>0</v>
      </c>
      <c r="D21" s="747" t="str">
        <f>VLOOKUP( $B21, T_Aop[], 6, 1)</f>
        <v>A  NETO DOBIT ILI NETO GUBITAK PERIODA</v>
      </c>
      <c r="E21" s="747"/>
      <c r="F21" s="747"/>
      <c r="G21" s="747"/>
      <c r="H21" s="747"/>
      <c r="I21" s="500">
        <f>VLOOKUP( $B21, T_Aop[], 4, 1)</f>
        <v>400</v>
      </c>
      <c r="J21" s="508"/>
      <c r="K21" s="513">
        <f>'02a'!K136-'02a'!K137</f>
        <v>516533</v>
      </c>
      <c r="L21" s="514">
        <f>'02a'!L136-'02a'!L137</f>
        <v>3961523</v>
      </c>
      <c r="P21" s="27"/>
    </row>
    <row r="22" spans="2:16" ht="27" customHeight="1" x14ac:dyDescent="0.2">
      <c r="B22" s="15">
        <v>264</v>
      </c>
      <c r="C22" s="66">
        <f>VLOOKUP( $B22, T_Aop[], 5, 1)</f>
        <v>0</v>
      </c>
      <c r="D22" s="737" t="str">
        <f>VLOOKUP( $B22, T_Aop[], 6, 1)</f>
        <v xml:space="preserve">    1. Stavke koje mogu biti reklasifikovane u bilans uspjeha (±402+403±404±405±406±407)</v>
      </c>
      <c r="E22" s="737"/>
      <c r="F22" s="737"/>
      <c r="G22" s="737"/>
      <c r="H22" s="737"/>
      <c r="I22" s="63">
        <f>VLOOKUP( $B22, T_Aop[], 4, 1)</f>
        <v>401</v>
      </c>
      <c r="J22" s="509"/>
      <c r="K22" s="497">
        <f>SUBTOTAL( 9, K23:K26,K28)-SUBTOTAL( 9, K27)</f>
        <v>0</v>
      </c>
      <c r="L22" s="495">
        <f>SUBTOTAL( 9, L23:L26,L28)-SUBTOTAL( 9, L27)</f>
        <v>0</v>
      </c>
      <c r="P22" s="27"/>
    </row>
    <row r="23" spans="2:16" ht="29.25" customHeight="1" x14ac:dyDescent="0.2">
      <c r="B23" s="15">
        <v>265</v>
      </c>
      <c r="C23" s="58" t="str">
        <f>VLOOKUP( $B23, T_Aop[], 5, 1)</f>
        <v>Promjena na 332 i 333</v>
      </c>
      <c r="D23" s="735" t="str">
        <f>VLOOKUP( $B23, T_Aop[], 6, 1)</f>
        <v xml:space="preserve">      1.1 Povećanje/(smanjenje) fer vrijednosti dužničkih instrumenata po fer vrijednosti kroz ostali ukupan rezultat</v>
      </c>
      <c r="E23" s="735"/>
      <c r="F23" s="735"/>
      <c r="G23" s="735"/>
      <c r="H23" s="735"/>
      <c r="I23" s="59">
        <f>VLOOKUP( $B23, T_Aop[], 4, 1)</f>
        <v>402</v>
      </c>
      <c r="J23" s="496"/>
      <c r="K23" s="511"/>
      <c r="L23" s="410"/>
      <c r="P23" s="133" t="s">
        <v>313</v>
      </c>
    </row>
    <row r="24" spans="2:16" ht="25.5" x14ac:dyDescent="0.2">
      <c r="B24" s="15">
        <v>266</v>
      </c>
      <c r="C24" s="66" t="str">
        <f>VLOOKUP( $B24, T_Aop[], 5, 1)</f>
        <v>Promjena na 331</v>
      </c>
      <c r="D24" s="737" t="str">
        <f>VLOOKUP( $B24, T_Aop[], 6, 1)</f>
        <v xml:space="preserve">      1.2 Efekti proistekli iz transakcija zaštite ("hedging")</v>
      </c>
      <c r="E24" s="737"/>
      <c r="F24" s="737"/>
      <c r="G24" s="737"/>
      <c r="H24" s="737"/>
      <c r="I24" s="63">
        <f>VLOOKUP( $B24, T_Aop[], 4, 1)</f>
        <v>403</v>
      </c>
      <c r="J24" s="509"/>
      <c r="K24" s="165"/>
      <c r="L24" s="166"/>
      <c r="P24"/>
    </row>
    <row r="25" spans="2:16" ht="23.25" customHeight="1" x14ac:dyDescent="0.2">
      <c r="B25" s="15">
        <v>267</v>
      </c>
      <c r="C25" s="58">
        <f>VLOOKUP( $B25, T_Aop[], 5, 1)</f>
        <v>0</v>
      </c>
      <c r="D25" s="735" t="str">
        <f>VLOOKUP( $B25, T_Aop[], 6, 1)</f>
        <v xml:space="preserve">      1.3 Udio u ostalom ukupnom rezultatu pridruženog društva i zajedničkog poduhvata primjenom metode udjela</v>
      </c>
      <c r="E25" s="735"/>
      <c r="F25" s="735"/>
      <c r="G25" s="735"/>
      <c r="H25" s="735"/>
      <c r="I25" s="59">
        <f>VLOOKUP( $B25, T_Aop[], 4, 1)</f>
        <v>404</v>
      </c>
      <c r="J25" s="496"/>
      <c r="K25" s="163"/>
      <c r="L25" s="164"/>
      <c r="P25"/>
    </row>
    <row r="26" spans="2:16" ht="25.5" customHeight="1" x14ac:dyDescent="0.2">
      <c r="B26" s="15">
        <v>268</v>
      </c>
      <c r="C26" s="66">
        <f>VLOOKUP( $B26, T_Aop[], 5, 1)</f>
        <v>0</v>
      </c>
      <c r="D26" s="737" t="str">
        <f>VLOOKUP( $B26, T_Aop[], 6, 1)</f>
        <v xml:space="preserve">      1.4 Dobici ili gubici po osnovu konverzije finansijskih izvještaja inostranog poslovanja</v>
      </c>
      <c r="E26" s="737"/>
      <c r="F26" s="737"/>
      <c r="G26" s="737"/>
      <c r="H26" s="737"/>
      <c r="I26" s="63">
        <f>VLOOKUP( $B26, T_Aop[], 4, 1)</f>
        <v>405</v>
      </c>
      <c r="J26" s="509"/>
      <c r="K26" s="411"/>
      <c r="L26" s="412"/>
      <c r="P26"/>
    </row>
    <row r="27" spans="2:16" ht="24" customHeight="1" x14ac:dyDescent="0.2">
      <c r="B27" s="15">
        <v>269</v>
      </c>
      <c r="C27" s="58" t="str">
        <f>VLOOKUP( $B27, T_Aop[], 5, 1)</f>
        <v>Promjena na 339, dio</v>
      </c>
      <c r="D27" s="735" t="str">
        <f>VLOOKUP( $B27, T_Aop[], 6, 1)</f>
        <v xml:space="preserve">      1.5 Ostale stavke koje mogu biti reklasifikovane u bilans uspjeha</v>
      </c>
      <c r="E27" s="735"/>
      <c r="F27" s="735"/>
      <c r="G27" s="735"/>
      <c r="H27" s="735"/>
      <c r="I27" s="59">
        <f>VLOOKUP( $B27, T_Aop[], 4, 1)</f>
        <v>406</v>
      </c>
      <c r="J27" s="496"/>
      <c r="K27" s="163"/>
      <c r="L27" s="164"/>
      <c r="P27"/>
    </row>
    <row r="28" spans="2:16" ht="12.75" customHeight="1" x14ac:dyDescent="0.2">
      <c r="B28" s="15">
        <v>270</v>
      </c>
      <c r="C28" s="66">
        <f>VLOOKUP( $B28, T_Aop[], 5, 1)</f>
        <v>0</v>
      </c>
      <c r="D28" s="737" t="str">
        <f>VLOOKUP( $B28, T_Aop[], 6, 1)</f>
        <v xml:space="preserve">      1.6  Odloženi porez na dobit koji se odnosi na ove stavke </v>
      </c>
      <c r="E28" s="737"/>
      <c r="F28" s="737"/>
      <c r="G28" s="737"/>
      <c r="H28" s="737"/>
      <c r="I28" s="63">
        <f>VLOOKUP( $B28, T_Aop[], 4, 1)</f>
        <v>407</v>
      </c>
      <c r="J28" s="509"/>
      <c r="K28" s="165"/>
      <c r="L28" s="166"/>
      <c r="P28"/>
    </row>
    <row r="29" spans="2:16" ht="20.25" customHeight="1" x14ac:dyDescent="0.2">
      <c r="B29" s="15">
        <v>271</v>
      </c>
      <c r="C29" s="58">
        <f>VLOOKUP( $B29, T_Aop[], 5, 1)</f>
        <v>0</v>
      </c>
      <c r="D29" s="736" t="str">
        <f>VLOOKUP( $B29, T_Aop[], 6, 1)</f>
        <v xml:space="preserve">    2.  Stavke koje neće biti reklasifikovane u bilans uspjeha (± 409± 410 ± 411 ± 412 ± 413 ± 414)</v>
      </c>
      <c r="E29" s="736"/>
      <c r="F29" s="736"/>
      <c r="G29" s="736"/>
      <c r="H29" s="736"/>
      <c r="I29" s="59">
        <f>VLOOKUP( $B29, T_Aop[], 4, 1)</f>
        <v>408</v>
      </c>
      <c r="J29" s="496"/>
      <c r="K29" s="447">
        <f>SUBTOTAL( 9, K30:K35)</f>
        <v>0</v>
      </c>
      <c r="L29" s="448">
        <f>SUBTOTAL( 9, L30:L35)</f>
        <v>0</v>
      </c>
      <c r="P29"/>
    </row>
    <row r="30" spans="2:16" ht="25.5" x14ac:dyDescent="0.2">
      <c r="B30" s="15">
        <v>272</v>
      </c>
      <c r="C30" s="66" t="str">
        <f>VLOOKUP( $B30, T_Aop[], 5, 1)</f>
        <v>Promjena na 330</v>
      </c>
      <c r="D30" s="737" t="str">
        <f>VLOOKUP( $B30, T_Aop[], 6, 1)</f>
        <v xml:space="preserve">      2.1 Revalorizacija nekretnina, postrojenja, opreme i nematerijalne imovine</v>
      </c>
      <c r="E30" s="737"/>
      <c r="F30" s="737"/>
      <c r="G30" s="737"/>
      <c r="H30" s="737"/>
      <c r="I30" s="63">
        <f>VLOOKUP( $B30, T_Aop[], 4, 1)</f>
        <v>409</v>
      </c>
      <c r="J30" s="509"/>
      <c r="K30" s="411"/>
      <c r="L30" s="412"/>
      <c r="P30"/>
    </row>
    <row r="31" spans="2:16" ht="25.5" x14ac:dyDescent="0.2">
      <c r="B31" s="15">
        <v>273</v>
      </c>
      <c r="C31" s="58" t="str">
        <f>VLOOKUP( $B31, T_Aop[], 5, 1)</f>
        <v>Promjena na 332 i 333</v>
      </c>
      <c r="D31" s="735" t="str">
        <f>VLOOKUP( $B31, T_Aop[], 6, 1)</f>
        <v xml:space="preserve">      2.2  Povećanje/(smanjenje) fer vrijednosti vlasničkih instrumenata po fer vrijednosti kroz ostali ukupan rezultat</v>
      </c>
      <c r="E31" s="735"/>
      <c r="F31" s="735"/>
      <c r="G31" s="735"/>
      <c r="H31" s="735"/>
      <c r="I31" s="59">
        <f>VLOOKUP( $B31, T_Aop[], 4, 1)</f>
        <v>410</v>
      </c>
      <c r="J31" s="496"/>
      <c r="K31" s="409"/>
      <c r="L31" s="410"/>
      <c r="P31"/>
    </row>
    <row r="32" spans="2:16" ht="23.25" customHeight="1" x14ac:dyDescent="0.2">
      <c r="B32" s="15">
        <v>274</v>
      </c>
      <c r="C32" s="66" t="str">
        <f>VLOOKUP( $B32, T_Aop[], 5, 1)</f>
        <v>Promjena na 339, dio</v>
      </c>
      <c r="D32" s="737" t="str">
        <f>VLOOKUP( $B32, T_Aop[], 6, 1)</f>
        <v xml:space="preserve">      2.3  Aktuarski dobici/(gubici) od planova definisanih primanja</v>
      </c>
      <c r="E32" s="737"/>
      <c r="F32" s="737"/>
      <c r="G32" s="737"/>
      <c r="H32" s="737"/>
      <c r="I32" s="63">
        <f>VLOOKUP( $B32, T_Aop[], 4, 1)</f>
        <v>411</v>
      </c>
      <c r="J32" s="509"/>
      <c r="K32" s="512"/>
      <c r="L32" s="569"/>
      <c r="P32"/>
    </row>
    <row r="33" spans="2:16" ht="24" customHeight="1" x14ac:dyDescent="0.2">
      <c r="B33" s="15">
        <v>275</v>
      </c>
      <c r="C33" s="58">
        <f>VLOOKUP( $B33, T_Aop[], 5, 1)</f>
        <v>0</v>
      </c>
      <c r="D33" s="735" t="str">
        <f>VLOOKUP( $B33, T_Aop[], 6, 1)</f>
        <v xml:space="preserve">      2.4 Udio u ostalom ukupnom rezultatu pridruženog društva i zajedničkog poduhvata primjenom metode udjela</v>
      </c>
      <c r="E33" s="735"/>
      <c r="F33" s="735"/>
      <c r="G33" s="735"/>
      <c r="H33" s="735"/>
      <c r="I33" s="59">
        <f>VLOOKUP( $B33, T_Aop[], 4, 1)</f>
        <v>412</v>
      </c>
      <c r="J33" s="496"/>
      <c r="K33" s="409"/>
      <c r="L33" s="410"/>
      <c r="P33"/>
    </row>
    <row r="34" spans="2:16" ht="25.5" customHeight="1" x14ac:dyDescent="0.2">
      <c r="B34" s="15">
        <v>276</v>
      </c>
      <c r="C34" s="66" t="str">
        <f>VLOOKUP( $B34, T_Aop[], 5, 1)</f>
        <v>Promjena na 339, dio</v>
      </c>
      <c r="D34" s="737" t="str">
        <f>VLOOKUP( $B34, T_Aop[], 6, 1)</f>
        <v xml:space="preserve">      2.5 Ostale stavke koje neće biti reklasifikovane u bilans uspjeha</v>
      </c>
      <c r="E34" s="737"/>
      <c r="F34" s="737"/>
      <c r="G34" s="737"/>
      <c r="H34" s="737"/>
      <c r="I34" s="63">
        <f>VLOOKUP( $B34, T_Aop[], 4, 1)</f>
        <v>413</v>
      </c>
      <c r="J34" s="509"/>
      <c r="K34" s="411"/>
      <c r="L34" s="412"/>
      <c r="P34"/>
    </row>
    <row r="35" spans="2:16" ht="12.75" customHeight="1" x14ac:dyDescent="0.2">
      <c r="B35" s="15">
        <v>277</v>
      </c>
      <c r="C35" s="58">
        <f>VLOOKUP( $B35, T_Aop[], 5, 1)</f>
        <v>0</v>
      </c>
      <c r="D35" s="735" t="str">
        <f>VLOOKUP( $B35, T_Aop[], 6, 1)</f>
        <v xml:space="preserve">      2.6 Odloženi porez na dobit koji se odnosi na ove stavke</v>
      </c>
      <c r="E35" s="735"/>
      <c r="F35" s="735"/>
      <c r="G35" s="735"/>
      <c r="H35" s="735"/>
      <c r="I35" s="59">
        <f>VLOOKUP( $B35, T_Aop[], 4, 1)</f>
        <v>414</v>
      </c>
      <c r="J35" s="496"/>
      <c r="K35" s="163"/>
      <c r="L35" s="164"/>
      <c r="P35"/>
    </row>
    <row r="36" spans="2:16" ht="12.75" customHeight="1" x14ac:dyDescent="0.2">
      <c r="B36" s="15">
        <v>278</v>
      </c>
      <c r="C36" s="66">
        <f>VLOOKUP( $B36, T_Aop[], 5, 1)</f>
        <v>0</v>
      </c>
      <c r="D36" s="741" t="str">
        <f>VLOOKUP( $B36, T_Aop[], 6, 1)</f>
        <v xml:space="preserve">  B. OSTALA DOBIT/GUBITAK U PERIODU (± 401 ± 408)</v>
      </c>
      <c r="E36" s="741"/>
      <c r="F36" s="741"/>
      <c r="G36" s="741"/>
      <c r="H36" s="741"/>
      <c r="I36" s="179">
        <f>VLOOKUP( $B36, T_Aop[], 4, 1)</f>
        <v>415</v>
      </c>
      <c r="J36" s="509"/>
      <c r="K36" s="73">
        <f>SUBTOTAL( 9, K23:K26,K28)-SUBTOTAL( 9, K27)+ SUBTOTAL( 9, K29:K35)</f>
        <v>0</v>
      </c>
      <c r="L36" s="74">
        <f>SUBTOTAL( 9, L23:L26,L28)-SUBTOTAL( 9, L27)+ SUBTOTAL( 9, L29:L35)</f>
        <v>0</v>
      </c>
      <c r="P36"/>
    </row>
    <row r="37" spans="2:16" ht="16.5" customHeight="1" x14ac:dyDescent="0.2">
      <c r="B37" s="15">
        <v>279</v>
      </c>
      <c r="C37" s="58">
        <f>VLOOKUP( $B37, T_Aop[], 5, 1)</f>
        <v>0</v>
      </c>
      <c r="D37" s="740" t="str">
        <f>VLOOKUP( $B37, T_Aop[], 6, 1)</f>
        <v/>
      </c>
      <c r="E37" s="740"/>
      <c r="F37" s="740"/>
      <c r="G37" s="740"/>
      <c r="H37" s="740"/>
      <c r="I37" s="59">
        <f>VLOOKUP( $B37, T_Aop[], 4, 1)</f>
        <v>0</v>
      </c>
      <c r="J37" s="496"/>
      <c r="K37" s="163"/>
      <c r="L37" s="164"/>
      <c r="P37"/>
    </row>
    <row r="38" spans="2:16" ht="16.5" customHeight="1" x14ac:dyDescent="0.2">
      <c r="B38" s="15">
        <v>280</v>
      </c>
      <c r="C38" s="66">
        <f>VLOOKUP( $B38, T_Aop[], 5, 1)</f>
        <v>0</v>
      </c>
      <c r="D38" s="741" t="str">
        <f>VLOOKUP( $B38, T_Aop[], 6, 1)</f>
        <v xml:space="preserve"> V. UKUPNA DOBIT / (GUBITAK) (400± 415)</v>
      </c>
      <c r="E38" s="741"/>
      <c r="F38" s="741"/>
      <c r="G38" s="741"/>
      <c r="H38" s="741"/>
      <c r="I38" s="179">
        <f>VLOOKUP( $B38, T_Aop[], 4, 1)</f>
        <v>416</v>
      </c>
      <c r="J38" s="509"/>
      <c r="K38" s="73">
        <f>SUBTOTAL( 9, K22:K26,K28,K21)-SUBTOTAL( 9, K27)+ SUBTOTAL( 9, K29:K35)</f>
        <v>516533</v>
      </c>
      <c r="L38" s="74">
        <f>SUBTOTAL( 9, L22:L26,L28,L21)-SUBTOTAL( 9, L27)+ SUBTOTAL( 9, L29:L35)</f>
        <v>3961523</v>
      </c>
      <c r="P38" s="27"/>
    </row>
    <row r="39" spans="2:16" ht="12" customHeight="1" x14ac:dyDescent="0.2">
      <c r="B39" s="15">
        <v>281</v>
      </c>
      <c r="C39" s="58">
        <f>VLOOKUP( $B39, T_Aop[], 5, 1)</f>
        <v>0</v>
      </c>
      <c r="D39" s="740" t="str">
        <f>VLOOKUP( $B39, T_Aop[], 6, 1)</f>
        <v xml:space="preserve"> </v>
      </c>
      <c r="E39" s="740"/>
      <c r="F39" s="740"/>
      <c r="G39" s="740"/>
      <c r="H39" s="740"/>
      <c r="I39" s="59">
        <f>VLOOKUP( $B39, T_Aop[], 4, 1)</f>
        <v>0</v>
      </c>
      <c r="J39" s="496"/>
      <c r="K39" s="163"/>
      <c r="L39" s="164"/>
      <c r="P39" s="27"/>
    </row>
    <row r="40" spans="2:16" ht="17.25" customHeight="1" x14ac:dyDescent="0.2">
      <c r="B40" s="15">
        <v>282</v>
      </c>
      <c r="C40" s="66"/>
      <c r="D40" s="737" t="str">
        <f>VLOOKUP( $B40, T_Aop[], 6, 1)</f>
        <v>Dio ukupne dobiti/gubitka koji pripada većinskim vlasnicima</v>
      </c>
      <c r="E40" s="737"/>
      <c r="F40" s="737"/>
      <c r="G40" s="737"/>
      <c r="H40" s="737"/>
      <c r="I40" s="63">
        <f>VLOOKUP( $B40, T_Aop[], 4, 1)</f>
        <v>417</v>
      </c>
      <c r="J40" s="509"/>
      <c r="K40" s="411"/>
      <c r="L40" s="412"/>
      <c r="P40" s="27"/>
    </row>
    <row r="41" spans="2:16" ht="17.25" customHeight="1" x14ac:dyDescent="0.2">
      <c r="B41" s="15">
        <v>283</v>
      </c>
      <c r="C41" s="191">
        <f>VLOOKUP( $B41, T_Aop[], 5, 1)</f>
        <v>0</v>
      </c>
      <c r="D41" s="739" t="str">
        <f>VLOOKUP( $B41, T_Aop[], 6, 1)</f>
        <v>Dio ukupne dobiti/gubitka koji pripada manjinskim vlasnicima</v>
      </c>
      <c r="E41" s="739"/>
      <c r="F41" s="739"/>
      <c r="G41" s="739"/>
      <c r="H41" s="739"/>
      <c r="I41" s="186">
        <f>VLOOKUP( $B41, T_Aop[], 4, 1)</f>
        <v>418</v>
      </c>
      <c r="J41" s="510"/>
      <c r="K41" s="503"/>
      <c r="L41" s="504"/>
      <c r="P41" s="27"/>
    </row>
    <row r="42" spans="2:16" ht="12.75" customHeight="1" x14ac:dyDescent="0.2">
      <c r="C42" s="37"/>
      <c r="D42" s="40"/>
      <c r="E42" s="40"/>
      <c r="F42" s="40"/>
      <c r="G42" s="40"/>
      <c r="H42" s="40"/>
      <c r="I42" s="232"/>
      <c r="J42" s="37"/>
      <c r="K42" s="37"/>
    </row>
    <row r="43" spans="2:16" ht="15" customHeight="1" x14ac:dyDescent="0.2">
      <c r="C43" s="180" t="str">
        <f>Podnozje_U</f>
        <v>U:</v>
      </c>
      <c r="D43" s="418" t="str">
        <f>Podatak_U</f>
        <v>Obavezan unos podataka u formi!</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0029/24</v>
      </c>
      <c r="H44" s="506"/>
      <c r="I44"/>
      <c r="K44" s="506" t="str">
        <f>Podatak_Direktor</f>
        <v>Aco Stanišić ma. ecc</v>
      </c>
    </row>
    <row r="45" spans="2:16" ht="12.75" customHeight="1" x14ac:dyDescent="0.2">
      <c r="C45" s="180" t="str">
        <f>Podnozje_Dana</f>
        <v>Dana:</v>
      </c>
      <c r="D45" s="417" t="str">
        <f>Podatak_Dana</f>
        <v>31.10.2024.</v>
      </c>
      <c r="E45"/>
      <c r="F45" s="738"/>
      <c r="G45" s="738"/>
      <c r="J45" s="522"/>
      <c r="K45" s="419"/>
      <c r="L45" s="523"/>
    </row>
    <row r="46" spans="2:16" ht="12.75" customHeight="1" x14ac:dyDescent="0.2">
      <c r="C46" s="180"/>
      <c r="D46" s="516"/>
      <c r="E46"/>
      <c r="F46" s="84"/>
      <c r="G46" s="84"/>
      <c r="J46" s="522"/>
      <c r="K46" s="522"/>
    </row>
    <row r="47" spans="2:16" ht="12.75" hidden="1" customHeight="1" x14ac:dyDescent="0.2">
      <c r="F47" s="40"/>
      <c r="G47" s="40"/>
      <c r="H47" s="40"/>
      <c r="I47" s="9"/>
      <c r="J47" s="37"/>
      <c r="K47" s="37"/>
    </row>
    <row r="48" spans="2:16" ht="12.75" hidden="1" customHeight="1" x14ac:dyDescent="0.2"/>
    <row r="61" x14ac:dyDescent="0.2"/>
  </sheetData>
  <sheetProtection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SheetLayoutView="100" workbookViewId="0">
      <pane ySplit="4" topLeftCell="A59" activePane="bottomLeft" state="frozen"/>
      <selection activeCell="S33" sqref="S33"/>
      <selection pane="bottomLeft" activeCell="K91" sqref="K91:L91"/>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60" t="str">
        <f>Zaglavlje_Naziv_preduzeca</f>
        <v xml:space="preserve">Naziv privrednog društva, zadruge, drugog pravnog lica ili preduzetnika: </v>
      </c>
      <c r="D5" s="660"/>
      <c r="E5" s="660"/>
      <c r="K5" s="9"/>
      <c r="L5" s="391" t="str">
        <f>Podatak_MB</f>
        <v>01814788</v>
      </c>
    </row>
    <row r="6" spans="3:12" ht="10.5" customHeight="1" x14ac:dyDescent="0.2">
      <c r="C6" s="660"/>
      <c r="D6" s="660"/>
      <c r="E6" s="660"/>
      <c r="F6" s="9"/>
      <c r="K6" s="9"/>
      <c r="L6" s="420" t="str">
        <f>Zaglavlje_MB</f>
        <v>Matični broj</v>
      </c>
    </row>
    <row r="7" spans="3:12" ht="9" customHeight="1" x14ac:dyDescent="0.2">
      <c r="C7" s="765" t="str">
        <f>Podatak_Naziv_preduzeca</f>
        <v>Elektrodistribucija a.d. Pale</v>
      </c>
      <c r="D7" s="765"/>
      <c r="E7" s="765"/>
      <c r="F7" s="765"/>
      <c r="K7" s="9"/>
      <c r="L7" s="391" t="str">
        <f>Podatak_Sifra_djelatnosti</f>
        <v>35.13</v>
      </c>
    </row>
    <row r="8" spans="3:12" x14ac:dyDescent="0.2">
      <c r="C8" s="125" t="str">
        <f>Zaglavlje_Sjediste</f>
        <v>Sjedište:</v>
      </c>
      <c r="D8" s="766" t="str">
        <f>Podatak_Sjediste</f>
        <v>Pale</v>
      </c>
      <c r="E8" s="766"/>
      <c r="F8" s="766"/>
      <c r="K8" s="9"/>
      <c r="L8" s="420" t="str">
        <f>Zaglavlje_Sifra_djelatnosti</f>
        <v>Šifra djelatnosti</v>
      </c>
    </row>
    <row r="9" spans="3:12" ht="12.75" customHeight="1" x14ac:dyDescent="0.2">
      <c r="C9" s="671" t="str">
        <f>Zaglavlje_Ziro_racun</f>
        <v>Račun kod ovlašćene organizacije za platni promet:</v>
      </c>
      <c r="D9" s="671"/>
      <c r="E9" s="671"/>
      <c r="F9" s="17"/>
      <c r="K9" s="9"/>
      <c r="L9" s="391" t="str">
        <f>Podatak_JIB</f>
        <v>4400570050004</v>
      </c>
    </row>
    <row r="10" spans="3:12" x14ac:dyDescent="0.2">
      <c r="C10" s="750" t="str">
        <f>Podatak_Ziro_racun_1</f>
        <v>562-012-00002669-48</v>
      </c>
      <c r="D10" s="750"/>
      <c r="E10" s="750"/>
      <c r="F10" s="750"/>
      <c r="K10" s="720" t="str">
        <f>Zaglavlje_JIB</f>
        <v>JIB</v>
      </c>
      <c r="L10" s="720"/>
    </row>
    <row r="11" spans="3:12" ht="10.5" customHeight="1" x14ac:dyDescent="0.2">
      <c r="C11" s="717" t="str">
        <f>Podatak_Ziro_racun_2</f>
        <v>555-002-00004363-23</v>
      </c>
      <c r="D11" s="717"/>
      <c r="E11" s="717"/>
      <c r="F11" s="717"/>
    </row>
    <row r="12" spans="3:12" ht="10.5" customHeight="1" x14ac:dyDescent="0.2">
      <c r="C12" s="750" t="str">
        <f>Podatak_Ziro_racun_3</f>
        <v>567-491-10000002-86</v>
      </c>
      <c r="D12" s="750"/>
      <c r="E12" s="750"/>
      <c r="F12" s="750"/>
    </row>
    <row r="13" spans="3:12" ht="9.75" customHeight="1" x14ac:dyDescent="0.2">
      <c r="C13" s="717" t="str">
        <f>Podatak_Ziro_racun_4</f>
        <v/>
      </c>
      <c r="D13" s="717"/>
      <c r="E13" s="717"/>
      <c r="F13" s="717"/>
      <c r="G13" s="18"/>
      <c r="H13" s="18"/>
      <c r="I13" s="18"/>
      <c r="J13"/>
      <c r="K13"/>
    </row>
    <row r="14" spans="3:12" ht="15.75" x14ac:dyDescent="0.2">
      <c r="C14" s="763" t="str">
        <f>IF( Id_Konsolidovani, Nazivi_bilansa_Konsolidovani_naziv &amp; LOWER( Nazivi_bilansa_BTG), Nazivi_bilansa_BTG)</f>
        <v>Konsolidovani bilans tokova gotovine</v>
      </c>
      <c r="D14" s="763"/>
      <c r="E14" s="763"/>
      <c r="F14" s="763"/>
      <c r="G14" s="763"/>
      <c r="H14" s="763"/>
      <c r="I14" s="763"/>
      <c r="J14" s="763"/>
      <c r="K14" s="763"/>
      <c r="L14" s="763"/>
    </row>
    <row r="15" spans="3:12" x14ac:dyDescent="0.2">
      <c r="C15" s="764" t="str">
        <f>Nazivi_bilansa_BTG1</f>
        <v>(Izvještaj o tokovima gotovine)</v>
      </c>
      <c r="D15" s="764"/>
      <c r="E15" s="764"/>
      <c r="F15" s="764"/>
      <c r="G15" s="764"/>
      <c r="H15" s="764"/>
      <c r="I15" s="764"/>
      <c r="J15" s="764"/>
      <c r="K15" s="764"/>
      <c r="L15" s="764"/>
    </row>
    <row r="16" spans="3:12" x14ac:dyDescent="0.2">
      <c r="C16" s="764" t="str">
        <f>Datumi_Datum_BTG</f>
        <v>za period od 01.01. do 30.09.2024. godine</v>
      </c>
      <c r="D16" s="764"/>
      <c r="E16" s="764"/>
      <c r="F16" s="764"/>
      <c r="G16" s="764"/>
      <c r="H16" s="764"/>
      <c r="I16" s="764"/>
      <c r="J16" s="764"/>
      <c r="K16" s="764"/>
      <c r="L16" s="764"/>
    </row>
    <row r="17" spans="2:16" ht="11.25" customHeight="1" x14ac:dyDescent="0.2">
      <c r="D17" s="18"/>
      <c r="E17" s="18"/>
      <c r="F17" s="18"/>
      <c r="G17" s="18"/>
      <c r="H17" s="18"/>
      <c r="I17" s="18"/>
      <c r="J17" s="18"/>
      <c r="K17" s="46" t="str">
        <f>Tabele_zaglavlje_Valuta</f>
        <v>- u konvertibilnim markama -</v>
      </c>
    </row>
    <row r="18" spans="2:16" x14ac:dyDescent="0.2">
      <c r="C18" s="742" t="str">
        <f>Tabele_zaglavlje_Redni_broj</f>
        <v>Redni broj</v>
      </c>
      <c r="D18" s="744" t="str">
        <f>Tabele_zaglavlje_Pozicija</f>
        <v>POZICIJA</v>
      </c>
      <c r="E18" s="744"/>
      <c r="F18" s="744"/>
      <c r="G18" s="744"/>
      <c r="H18" s="744"/>
      <c r="I18" s="753" t="str">
        <f>Tabele_zaglavlje_Oznaka_aop</f>
        <v>Oznaka za AOP</v>
      </c>
      <c r="J18" s="753" t="str">
        <f>Tabele_zaglavlje_Napomena_aop</f>
        <v>Napomena</v>
      </c>
      <c r="K18" s="697" t="str">
        <f>Tabele_zaglavlje_Iznos</f>
        <v>Iznos</v>
      </c>
      <c r="L18" s="698"/>
    </row>
    <row r="19" spans="2:16" ht="25.5" x14ac:dyDescent="0.2">
      <c r="C19" s="743"/>
      <c r="D19" s="745"/>
      <c r="E19" s="745"/>
      <c r="F19" s="745"/>
      <c r="G19" s="745"/>
      <c r="H19" s="745"/>
      <c r="I19" s="754"/>
      <c r="J19" s="754"/>
      <c r="K19" s="42" t="str">
        <f>Tabele_zaglavlje_Tekuca_godina</f>
        <v>Tekuća godina</v>
      </c>
      <c r="L19" s="43" t="str">
        <f>Tabele_zaglavlje_Prethodna_godina</f>
        <v>Prethodna godina</v>
      </c>
      <c r="P19" s="134" t="s">
        <v>490</v>
      </c>
    </row>
    <row r="20" spans="2:16" x14ac:dyDescent="0.2">
      <c r="B20" s="44" t="s">
        <v>123</v>
      </c>
      <c r="C20" s="69">
        <v>1</v>
      </c>
      <c r="D20" s="746">
        <v>2</v>
      </c>
      <c r="E20" s="746"/>
      <c r="F20" s="746"/>
      <c r="G20" s="746"/>
      <c r="H20" s="746"/>
      <c r="I20" s="70">
        <v>3</v>
      </c>
      <c r="J20" s="70"/>
      <c r="K20" s="461">
        <v>4</v>
      </c>
      <c r="L20" s="462">
        <v>5</v>
      </c>
    </row>
    <row r="21" spans="2:16" ht="24.75" customHeight="1" x14ac:dyDescent="0.2">
      <c r="B21" s="47">
        <v>284</v>
      </c>
      <c r="C21" s="71" t="str">
        <f>VLOOKUP( $B21, T_Aop[], 5, 1)</f>
        <v>A_x000D_
I</v>
      </c>
      <c r="D21" s="757" t="str">
        <f>VLOOKUP( $B21, T_Aop[], 6, 1)</f>
        <v>TOKOVI GOTOVINE IZ POSLOVNIH AKTIVNOSTI 
Prilivi gotovine iz poslovne aktivnosti (502 do 505)</v>
      </c>
      <c r="E21" s="757"/>
      <c r="F21" s="757"/>
      <c r="G21" s="757"/>
      <c r="H21" s="757"/>
      <c r="I21" s="185">
        <f>VLOOKUP( $B21, T_Aop[], 4, 1)</f>
        <v>501</v>
      </c>
      <c r="J21" s="566"/>
      <c r="K21" s="405">
        <f>SUBTOTAL( 9, K22:K25)</f>
        <v>33988269</v>
      </c>
      <c r="L21" s="406">
        <f>SUBTOTAL( 9, L22:L25)</f>
        <v>36475004</v>
      </c>
      <c r="P21" s="27"/>
    </row>
    <row r="22" spans="2:16" ht="12" customHeight="1" x14ac:dyDescent="0.2">
      <c r="B22" s="47">
        <v>285</v>
      </c>
      <c r="C22" s="58" t="str">
        <f>VLOOKUP( $B22, T_Aop[], 5, 1)</f>
        <v>1</v>
      </c>
      <c r="D22" s="735" t="str">
        <f>VLOOKUP( $B22, T_Aop[], 6, 1)</f>
        <v xml:space="preserve">    Prilivi od kupaca i primljeni avansi u zemlji</v>
      </c>
      <c r="E22" s="735"/>
      <c r="F22" s="735"/>
      <c r="G22" s="735"/>
      <c r="H22" s="735"/>
      <c r="I22" s="59">
        <f>VLOOKUP( $B22, T_Aop[], 4, 1)</f>
        <v>502</v>
      </c>
      <c r="J22" s="567"/>
      <c r="K22" s="155">
        <f>29506182+4255750</f>
        <v>33761932</v>
      </c>
      <c r="L22" s="156">
        <v>36315612</v>
      </c>
      <c r="P22" s="27"/>
    </row>
    <row r="23" spans="2:16" ht="12" customHeight="1" x14ac:dyDescent="0.2">
      <c r="B23" s="47">
        <v>286</v>
      </c>
      <c r="C23" s="62" t="str">
        <f>VLOOKUP( $B23, T_Aop[], 5, 1)</f>
        <v>2</v>
      </c>
      <c r="D23" s="758" t="str">
        <f>VLOOKUP( $B23, T_Aop[], 6, 1)</f>
        <v xml:space="preserve">    Prilivi od kupaca i primljeni avansi u inostranstvu</v>
      </c>
      <c r="E23" s="758"/>
      <c r="F23" s="758"/>
      <c r="G23" s="758"/>
      <c r="H23" s="758"/>
      <c r="I23" s="75">
        <f>VLOOKUP( $B23, T_Aop[], 4, 1)</f>
        <v>503</v>
      </c>
      <c r="J23" s="568"/>
      <c r="K23" s="157"/>
      <c r="L23" s="158"/>
      <c r="P23" s="27"/>
    </row>
    <row r="24" spans="2:16" ht="12" customHeight="1" x14ac:dyDescent="0.2">
      <c r="B24" s="47">
        <v>287</v>
      </c>
      <c r="C24" s="58" t="str">
        <f>VLOOKUP( $B24, T_Aop[], 5, 1)</f>
        <v>3</v>
      </c>
      <c r="D24" s="735" t="str">
        <f>VLOOKUP( $B24, T_Aop[], 6, 1)</f>
        <v xml:space="preserve">    Prilivi od premija, subvencija, dotacija i sl.</v>
      </c>
      <c r="E24" s="735"/>
      <c r="F24" s="735"/>
      <c r="G24" s="735"/>
      <c r="H24" s="735"/>
      <c r="I24" s="59">
        <f>VLOOKUP( $B24, T_Aop[], 4, 1)</f>
        <v>504</v>
      </c>
      <c r="J24" s="567"/>
      <c r="K24" s="155"/>
      <c r="L24" s="156"/>
      <c r="P24" s="27"/>
    </row>
    <row r="25" spans="2:16" ht="12" customHeight="1" x14ac:dyDescent="0.2">
      <c r="B25" s="47">
        <v>288</v>
      </c>
      <c r="C25" s="62" t="str">
        <f>VLOOKUP( $B25, T_Aop[], 5, 1)</f>
        <v>4</v>
      </c>
      <c r="D25" s="758" t="str">
        <f>VLOOKUP( $B25, T_Aop[], 6, 1)</f>
        <v xml:space="preserve">    Ostali prilivi iz poslovnih aktivnosti</v>
      </c>
      <c r="E25" s="758"/>
      <c r="F25" s="758"/>
      <c r="G25" s="758"/>
      <c r="H25" s="758"/>
      <c r="I25" s="75">
        <f>VLOOKUP( $B25, T_Aop[], 4, 1)</f>
        <v>505</v>
      </c>
      <c r="J25" s="568"/>
      <c r="K25" s="159">
        <v>226337</v>
      </c>
      <c r="L25" s="160">
        <v>159392</v>
      </c>
      <c r="P25" s="27"/>
    </row>
    <row r="26" spans="2:16" ht="12" customHeight="1" x14ac:dyDescent="0.2">
      <c r="B26" s="47">
        <v>289</v>
      </c>
      <c r="C26" s="58" t="str">
        <f>VLOOKUP( $B26, T_Aop[], 5, 1)</f>
        <v>II</v>
      </c>
      <c r="D26" s="740" t="str">
        <f>VLOOKUP( $B26, T_Aop[], 6, 1)</f>
        <v xml:space="preserve">    Odlivi gotovine iz poslovnih aktivnosti (507 do 512)</v>
      </c>
      <c r="E26" s="740"/>
      <c r="F26" s="740"/>
      <c r="G26" s="740"/>
      <c r="H26" s="740"/>
      <c r="I26" s="178">
        <f>VLOOKUP( $B26, T_Aop[], 4, 1)</f>
        <v>506</v>
      </c>
      <c r="J26" s="567"/>
      <c r="K26" s="60">
        <f>SUBTOTAL( 9, K27:K32)</f>
        <v>28443509</v>
      </c>
      <c r="L26" s="61">
        <f>SUBTOTAL( 9, L27:L32)</f>
        <v>31474335</v>
      </c>
      <c r="P26" s="27"/>
    </row>
    <row r="27" spans="2:16" ht="12" customHeight="1" x14ac:dyDescent="0.2">
      <c r="B27" s="47">
        <v>290</v>
      </c>
      <c r="C27" s="62" t="str">
        <f>VLOOKUP( $B27, T_Aop[], 5, 1)</f>
        <v>1</v>
      </c>
      <c r="D27" s="758" t="str">
        <f>VLOOKUP( $B27, T_Aop[], 6, 1)</f>
        <v xml:space="preserve">    Odlivi po osnovu isplata dobavljačima i dati avansi u zemlji</v>
      </c>
      <c r="E27" s="758"/>
      <c r="F27" s="758"/>
      <c r="G27" s="758"/>
      <c r="H27" s="758"/>
      <c r="I27" s="75">
        <f>VLOOKUP( $B27, T_Aop[], 4, 1)</f>
        <v>507</v>
      </c>
      <c r="J27" s="568"/>
      <c r="K27" s="157">
        <f>11888293+239994</f>
        <v>12128287</v>
      </c>
      <c r="L27" s="158">
        <v>16185048</v>
      </c>
      <c r="P27" s="27"/>
    </row>
    <row r="28" spans="2:16" ht="12" customHeight="1" x14ac:dyDescent="0.2">
      <c r="B28" s="47">
        <v>291</v>
      </c>
      <c r="C28" s="58" t="str">
        <f>VLOOKUP( $B28, T_Aop[], 5, 1)</f>
        <v>2</v>
      </c>
      <c r="D28" s="735" t="str">
        <f>VLOOKUP( $B28, T_Aop[], 6, 1)</f>
        <v xml:space="preserve">    Odlivi po osnovu isplata dobavljačima i dati avansi u inostranstvu</v>
      </c>
      <c r="E28" s="735"/>
      <c r="F28" s="735"/>
      <c r="G28" s="735"/>
      <c r="H28" s="735"/>
      <c r="I28" s="59">
        <f>VLOOKUP( $B28, T_Aop[], 4, 1)</f>
        <v>508</v>
      </c>
      <c r="J28" s="567"/>
      <c r="K28" s="155">
        <v>94700</v>
      </c>
      <c r="L28" s="156">
        <v>133490</v>
      </c>
      <c r="P28" s="27"/>
    </row>
    <row r="29" spans="2:16" ht="12" customHeight="1" x14ac:dyDescent="0.2">
      <c r="B29" s="47">
        <v>292</v>
      </c>
      <c r="C29" s="62" t="str">
        <f>VLOOKUP( $B29, T_Aop[], 5, 1)</f>
        <v>3</v>
      </c>
      <c r="D29" s="758" t="str">
        <f>VLOOKUP( $B29, T_Aop[], 6, 1)</f>
        <v xml:space="preserve">    Odlivi po osnovu plaćenih kamata</v>
      </c>
      <c r="E29" s="758"/>
      <c r="F29" s="758"/>
      <c r="G29" s="758"/>
      <c r="H29" s="758"/>
      <c r="I29" s="75">
        <f>VLOOKUP( $B29, T_Aop[], 4, 1)</f>
        <v>509</v>
      </c>
      <c r="J29" s="568"/>
      <c r="K29" s="157">
        <f>201548+332388</f>
        <v>533936</v>
      </c>
      <c r="L29" s="158">
        <v>419655</v>
      </c>
      <c r="P29" s="27"/>
    </row>
    <row r="30" spans="2:16" ht="12" customHeight="1" x14ac:dyDescent="0.2">
      <c r="B30" s="47">
        <v>293</v>
      </c>
      <c r="C30" s="58" t="str">
        <f>VLOOKUP( $B30, T_Aop[], 5, 1)</f>
        <v>4</v>
      </c>
      <c r="D30" s="735" t="str">
        <f>VLOOKUP( $B30, T_Aop[], 6, 1)</f>
        <v xml:space="preserve">    Odlivi po osnovu isplata plata, naknada plata i ostalih ličnih rashoda</v>
      </c>
      <c r="E30" s="735"/>
      <c r="F30" s="735"/>
      <c r="G30" s="735"/>
      <c r="H30" s="735"/>
      <c r="I30" s="59">
        <f>VLOOKUP( $B30, T_Aop[], 4, 1)</f>
        <v>510</v>
      </c>
      <c r="J30" s="567"/>
      <c r="K30" s="155">
        <f>10849926+1503065</f>
        <v>12352991</v>
      </c>
      <c r="L30" s="156">
        <v>11216170</v>
      </c>
      <c r="P30" s="27"/>
    </row>
    <row r="31" spans="2:16" ht="12" customHeight="1" x14ac:dyDescent="0.2">
      <c r="B31" s="47">
        <v>294</v>
      </c>
      <c r="C31" s="62" t="str">
        <f>VLOOKUP( $B31, T_Aop[], 5, 1)</f>
        <v>5</v>
      </c>
      <c r="D31" s="758" t="str">
        <f>VLOOKUP( $B31, T_Aop[], 6, 1)</f>
        <v xml:space="preserve">    Odlivi po osnovu poreza na dobit</v>
      </c>
      <c r="E31" s="758"/>
      <c r="F31" s="758"/>
      <c r="G31" s="758"/>
      <c r="H31" s="758"/>
      <c r="I31" s="75">
        <f>VLOOKUP( $B31, T_Aop[], 4, 1)</f>
        <v>511</v>
      </c>
      <c r="J31" s="568"/>
      <c r="K31" s="157">
        <f>169948+164168</f>
        <v>334116</v>
      </c>
      <c r="L31" s="158">
        <v>405872</v>
      </c>
      <c r="P31" s="27"/>
    </row>
    <row r="32" spans="2:16" ht="12" customHeight="1" x14ac:dyDescent="0.2">
      <c r="B32" s="47">
        <v>295</v>
      </c>
      <c r="C32" s="58" t="str">
        <f>VLOOKUP( $B32, T_Aop[], 5, 1)</f>
        <v>6</v>
      </c>
      <c r="D32" s="735" t="str">
        <f>VLOOKUP( $B32, T_Aop[], 6, 1)</f>
        <v xml:space="preserve">    Ostali odlivi iz poslovnih aktivnosti</v>
      </c>
      <c r="E32" s="735"/>
      <c r="F32" s="735"/>
      <c r="G32" s="735"/>
      <c r="H32" s="735"/>
      <c r="I32" s="59">
        <f>VLOOKUP( $B32, T_Aop[], 4, 1)</f>
        <v>512</v>
      </c>
      <c r="J32" s="567"/>
      <c r="K32" s="155">
        <f>2272767+726712</f>
        <v>2999479</v>
      </c>
      <c r="L32" s="156">
        <v>3114100</v>
      </c>
      <c r="P32" s="27"/>
    </row>
    <row r="33" spans="2:16" x14ac:dyDescent="0.2">
      <c r="B33" s="47">
        <v>296</v>
      </c>
      <c r="C33" s="62" t="str">
        <f>VLOOKUP( $B33, T_Aop[], 5, 1)</f>
        <v>III</v>
      </c>
      <c r="D33" s="759" t="str">
        <f>VLOOKUP( $B33, T_Aop[], 6, 1)</f>
        <v xml:space="preserve">  Neto priliv gotovine iz poslovnih aktivnosti (501 – 506)</v>
      </c>
      <c r="E33" s="759"/>
      <c r="F33" s="759"/>
      <c r="G33" s="759"/>
      <c r="H33" s="759"/>
      <c r="I33" s="189">
        <f>VLOOKUP( $B33, T_Aop[], 4, 1)</f>
        <v>513</v>
      </c>
      <c r="J33" s="568"/>
      <c r="K33" s="67">
        <f>IF( SUBTOTAL( 9, K21:K25) - SUBTOTAL( 9, K26:K32) &lt;= 0, 0, ABS( SUBTOTAL( 9, K21:K25) - SUBTOTAL( 9, K26:K32)) )</f>
        <v>5544760</v>
      </c>
      <c r="L33" s="68">
        <f>IF( SUBTOTAL( 9, L21:L25) - SUBTOTAL( 9, L26:L32) &lt;= 0, 0, ABS( SUBTOTAL( 9, L21:L25) - SUBTOTAL( 9, L26:L32)) )</f>
        <v>5000669</v>
      </c>
      <c r="P33" s="27"/>
    </row>
    <row r="34" spans="2:16" x14ac:dyDescent="0.2">
      <c r="B34" s="47">
        <v>297</v>
      </c>
      <c r="C34" s="58" t="str">
        <f>VLOOKUP( $B34, T_Aop[], 5, 1)</f>
        <v>IV</v>
      </c>
      <c r="D34" s="740" t="str">
        <f>VLOOKUP( $B34, T_Aop[], 6, 1)</f>
        <v xml:space="preserve">  Neto odliv gotovine iz poslovnih aktivnosti (506 – 501)</v>
      </c>
      <c r="E34" s="740"/>
      <c r="F34" s="740"/>
      <c r="G34" s="740"/>
      <c r="H34" s="740"/>
      <c r="I34" s="178">
        <f>VLOOKUP( $B34, T_Aop[], 4, 1)</f>
        <v>514</v>
      </c>
      <c r="J34" s="567"/>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59" t="str">
        <f>VLOOKUP( $B35, T_Aop[], 6, 1)</f>
        <v>TOKOVI GOTOVINE IZ AKTIVNOSTI INVESTIRANJA
Prilivi gotovine iz aktivnosti investiranja (516 do 530)</v>
      </c>
      <c r="E35" s="759"/>
      <c r="F35" s="759"/>
      <c r="G35" s="759"/>
      <c r="H35" s="759"/>
      <c r="I35" s="189">
        <f>VLOOKUP( $B35, T_Aop[], 4, 1)</f>
        <v>515</v>
      </c>
      <c r="J35" s="568"/>
      <c r="K35" s="67">
        <f>SUBTOTAL( 9, K36:K50)</f>
        <v>18655</v>
      </c>
      <c r="L35" s="68">
        <f>SUBTOTAL( 9, L36:L50)</f>
        <v>24239</v>
      </c>
      <c r="P35" s="27"/>
    </row>
    <row r="36" spans="2:16" ht="21" customHeight="1" x14ac:dyDescent="0.2">
      <c r="B36" s="47">
        <v>299</v>
      </c>
      <c r="C36" s="58" t="str">
        <f>VLOOKUP( $B36, T_Aop[], 5, 1)</f>
        <v>1</v>
      </c>
      <c r="D36" s="735" t="str">
        <f>VLOOKUP( $B36, T_Aop[], 6, 1)</f>
        <v xml:space="preserve">    Prilivi gotovine po osnovu prodaje akcija i udjela zavisnih i pridruženih društava i zajedničkih poduhvata</v>
      </c>
      <c r="E36" s="735"/>
      <c r="F36" s="735"/>
      <c r="G36" s="735"/>
      <c r="H36" s="735"/>
      <c r="I36" s="59">
        <f>VLOOKUP( $B36, T_Aop[], 4, 1)</f>
        <v>516</v>
      </c>
      <c r="J36" s="567"/>
      <c r="K36" s="155"/>
      <c r="L36" s="156"/>
      <c r="P36" s="27"/>
    </row>
    <row r="37" spans="2:16" ht="12" customHeight="1" x14ac:dyDescent="0.2">
      <c r="B37" s="47">
        <v>300</v>
      </c>
      <c r="C37" s="62" t="str">
        <f>VLOOKUP( $B37, T_Aop[], 5, 1)</f>
        <v>2</v>
      </c>
      <c r="D37" s="758" t="str">
        <f>VLOOKUP( $B37, T_Aop[], 6, 1)</f>
        <v xml:space="preserve">    Prilivi po osnovu prodaje nekretnina, postrojenja i opreme</v>
      </c>
      <c r="E37" s="758"/>
      <c r="F37" s="758"/>
      <c r="G37" s="758"/>
      <c r="H37" s="758"/>
      <c r="I37" s="75">
        <f>VLOOKUP( $B37, T_Aop[], 4, 1)</f>
        <v>517</v>
      </c>
      <c r="J37" s="568"/>
      <c r="K37" s="159"/>
      <c r="L37" s="160"/>
      <c r="P37" s="27"/>
    </row>
    <row r="38" spans="2:16" ht="12" customHeight="1" x14ac:dyDescent="0.2">
      <c r="B38" s="47">
        <v>301</v>
      </c>
      <c r="C38" s="58" t="str">
        <f>VLOOKUP( $B38, T_Aop[], 5, 1)</f>
        <v>3</v>
      </c>
      <c r="D38" s="735" t="str">
        <f>VLOOKUP( $B38, T_Aop[], 6, 1)</f>
        <v xml:space="preserve">    Prilivi po osnovu prodaje investicionih nekretnina</v>
      </c>
      <c r="E38" s="735"/>
      <c r="F38" s="735"/>
      <c r="G38" s="735"/>
      <c r="H38" s="735"/>
      <c r="I38" s="59">
        <f>VLOOKUP( $B38, T_Aop[], 4, 1)</f>
        <v>518</v>
      </c>
      <c r="J38" s="567"/>
      <c r="K38" s="155"/>
      <c r="L38" s="156"/>
      <c r="P38" s="133" t="s">
        <v>313</v>
      </c>
    </row>
    <row r="39" spans="2:16" ht="12" customHeight="1" x14ac:dyDescent="0.2">
      <c r="B39" s="47">
        <v>302</v>
      </c>
      <c r="C39" s="62" t="str">
        <f>VLOOKUP( $B39, T_Aop[], 5, 1)</f>
        <v>4</v>
      </c>
      <c r="D39" s="758" t="str">
        <f>VLOOKUP( $B39, T_Aop[], 6, 1)</f>
        <v xml:space="preserve">    Prilivi po osnovu prodaje bioloških sredstava</v>
      </c>
      <c r="E39" s="758"/>
      <c r="F39" s="758"/>
      <c r="G39" s="758"/>
      <c r="H39" s="758"/>
      <c r="I39" s="75">
        <f>VLOOKUP( $B39, T_Aop[], 4, 1)</f>
        <v>519</v>
      </c>
      <c r="J39" s="568"/>
      <c r="K39" s="159"/>
      <c r="L39" s="160"/>
      <c r="P39" s="27"/>
    </row>
    <row r="40" spans="2:16" ht="12" customHeight="1" x14ac:dyDescent="0.2">
      <c r="B40" s="47">
        <v>303</v>
      </c>
      <c r="C40" s="58" t="str">
        <f>VLOOKUP( $B40, T_Aop[], 5, 1)</f>
        <v>5</v>
      </c>
      <c r="D40" s="735" t="str">
        <f>VLOOKUP( $B40, T_Aop[], 6, 1)</f>
        <v xml:space="preserve">    Prilivi po osnovu prodaje nematerijalnih sredstava</v>
      </c>
      <c r="E40" s="735"/>
      <c r="F40" s="735"/>
      <c r="G40" s="735"/>
      <c r="H40" s="735"/>
      <c r="I40" s="59">
        <f>VLOOKUP( $B40, T_Aop[], 4, 1)</f>
        <v>520</v>
      </c>
      <c r="J40" s="567"/>
      <c r="K40" s="155"/>
      <c r="L40" s="156"/>
      <c r="P40" s="27"/>
    </row>
    <row r="41" spans="2:16" ht="12" customHeight="1" x14ac:dyDescent="0.2">
      <c r="B41" s="47">
        <v>304</v>
      </c>
      <c r="C41" s="62" t="str">
        <f>VLOOKUP( $B41, T_Aop[], 5, 1)</f>
        <v>6</v>
      </c>
      <c r="D41" s="758" t="str">
        <f>VLOOKUP( $B41, T_Aop[], 6, 1)</f>
        <v xml:space="preserve">    Prilivi po osnovu prodaje stalnih sredstava namijenjenih prodaji</v>
      </c>
      <c r="E41" s="758"/>
      <c r="F41" s="758"/>
      <c r="G41" s="758"/>
      <c r="H41" s="758"/>
      <c r="I41" s="75">
        <f>VLOOKUP( $B41, T_Aop[], 4, 1)</f>
        <v>521</v>
      </c>
      <c r="J41" s="568"/>
      <c r="K41" s="159"/>
      <c r="L41" s="160">
        <v>9091</v>
      </c>
      <c r="P41" s="27"/>
    </row>
    <row r="42" spans="2:16" ht="12" customHeight="1" x14ac:dyDescent="0.2">
      <c r="B42" s="47">
        <v>305</v>
      </c>
      <c r="C42" s="58" t="str">
        <f>VLOOKUP( $B42, T_Aop[], 5, 1)</f>
        <v>7</v>
      </c>
      <c r="D42" s="735" t="str">
        <f>VLOOKUP( $B42, T_Aop[], 6, 1)</f>
        <v xml:space="preserve">    Prilivi od finansijskih sredstava po fer vrijednosti kroz ostali ukupni rezultat</v>
      </c>
      <c r="E42" s="735"/>
      <c r="F42" s="735"/>
      <c r="G42" s="735"/>
      <c r="H42" s="735"/>
      <c r="I42" s="59">
        <f>VLOOKUP( $B42, T_Aop[], 4, 1)</f>
        <v>522</v>
      </c>
      <c r="J42" s="567"/>
      <c r="K42" s="155"/>
      <c r="L42" s="156"/>
      <c r="P42" s="27"/>
    </row>
    <row r="43" spans="2:16" ht="12" customHeight="1" x14ac:dyDescent="0.2">
      <c r="B43" s="47">
        <v>306</v>
      </c>
      <c r="C43" s="62" t="str">
        <f>VLOOKUP( $B43, T_Aop[], 5, 1)</f>
        <v>8</v>
      </c>
      <c r="D43" s="758" t="str">
        <f>VLOOKUP( $B43, T_Aop[], 6, 1)</f>
        <v xml:space="preserve">    Prilivi od finansijskih sredstva po fer vrijednosti kroz bilans uspjeha</v>
      </c>
      <c r="E43" s="758"/>
      <c r="F43" s="758"/>
      <c r="G43" s="758"/>
      <c r="H43" s="758"/>
      <c r="I43" s="75">
        <f>VLOOKUP( $B43, T_Aop[], 4, 1)</f>
        <v>523</v>
      </c>
      <c r="J43" s="568"/>
      <c r="K43" s="159"/>
      <c r="L43" s="160"/>
      <c r="P43" s="27"/>
    </row>
    <row r="44" spans="2:16" ht="12" customHeight="1" x14ac:dyDescent="0.2">
      <c r="B44" s="47">
        <v>307</v>
      </c>
      <c r="C44" s="58" t="str">
        <f>VLOOKUP( $B44, T_Aop[], 5, 1)</f>
        <v>9</v>
      </c>
      <c r="D44" s="735" t="str">
        <f>VLOOKUP( $B44, T_Aop[], 6, 1)</f>
        <v xml:space="preserve">    Prilivi od ostalih finansijskih sredstava po amortizovanoj vrijednosti</v>
      </c>
      <c r="E44" s="735"/>
      <c r="F44" s="735"/>
      <c r="G44" s="735"/>
      <c r="H44" s="735"/>
      <c r="I44" s="59">
        <f>VLOOKUP( $B44, T_Aop[], 4, 1)</f>
        <v>524</v>
      </c>
      <c r="J44" s="567"/>
      <c r="K44" s="155"/>
      <c r="L44" s="156"/>
      <c r="P44" s="27"/>
    </row>
    <row r="45" spans="2:16" ht="12" customHeight="1" x14ac:dyDescent="0.2">
      <c r="B45" s="47">
        <v>308</v>
      </c>
      <c r="C45" s="62" t="str">
        <f>VLOOKUP( $B45, T_Aop[], 5, 1)</f>
        <v>10</v>
      </c>
      <c r="D45" s="758" t="str">
        <f>VLOOKUP( $B45, T_Aop[], 6, 1)</f>
        <v xml:space="preserve">    Prilivi po osnovu lizinga (glavnica)</v>
      </c>
      <c r="E45" s="758"/>
      <c r="F45" s="758"/>
      <c r="G45" s="758"/>
      <c r="H45" s="758"/>
      <c r="I45" s="75">
        <f>VLOOKUP( $B45, T_Aop[], 4, 1)</f>
        <v>525</v>
      </c>
      <c r="J45" s="568"/>
      <c r="K45" s="159"/>
      <c r="L45" s="160"/>
      <c r="P45" s="133" t="s">
        <v>313</v>
      </c>
    </row>
    <row r="46" spans="2:16" ht="12" customHeight="1" x14ac:dyDescent="0.2">
      <c r="B46" s="47">
        <v>309</v>
      </c>
      <c r="C46" s="58" t="str">
        <f>VLOOKUP( $B46, T_Aop[], 5, 1)</f>
        <v>11</v>
      </c>
      <c r="D46" s="735" t="str">
        <f>VLOOKUP( $B46, T_Aop[], 6, 1)</f>
        <v xml:space="preserve">    Prilivi po osnovu lizinga (kamata)</v>
      </c>
      <c r="E46" s="735"/>
      <c r="F46" s="735"/>
      <c r="G46" s="735"/>
      <c r="H46" s="735"/>
      <c r="I46" s="59">
        <f>VLOOKUP( $B46, T_Aop[], 4, 1)</f>
        <v>526</v>
      </c>
      <c r="J46" s="567"/>
      <c r="K46" s="155"/>
      <c r="L46" s="156"/>
      <c r="P46" s="27"/>
    </row>
    <row r="47" spans="2:16" ht="12" customHeight="1" x14ac:dyDescent="0.2">
      <c r="B47" s="47">
        <v>310</v>
      </c>
      <c r="C47" s="62" t="str">
        <f>VLOOKUP( $B47, T_Aop[], 5, 1)</f>
        <v>12</v>
      </c>
      <c r="D47" s="758" t="str">
        <f>VLOOKUP( $B47, T_Aop[], 6, 1)</f>
        <v xml:space="preserve">    Prilivi po osnovu kamata</v>
      </c>
      <c r="E47" s="758"/>
      <c r="F47" s="758"/>
      <c r="G47" s="758"/>
      <c r="H47" s="758"/>
      <c r="I47" s="75">
        <f>VLOOKUP( $B47, T_Aop[], 4, 1)</f>
        <v>527</v>
      </c>
      <c r="J47" s="568"/>
      <c r="K47" s="159">
        <v>18655</v>
      </c>
      <c r="L47" s="160">
        <v>15148</v>
      </c>
      <c r="P47" s="27"/>
    </row>
    <row r="48" spans="2:16" ht="12" customHeight="1" x14ac:dyDescent="0.2">
      <c r="B48" s="47">
        <v>311</v>
      </c>
      <c r="C48" s="58" t="str">
        <f>VLOOKUP( $B48, T_Aop[], 5, 1)</f>
        <v>13</v>
      </c>
      <c r="D48" s="735" t="str">
        <f>VLOOKUP( $B48, T_Aop[], 6, 1)</f>
        <v xml:space="preserve">    Prilivi od dividendi i učešća u dobiti</v>
      </c>
      <c r="E48" s="735"/>
      <c r="F48" s="735"/>
      <c r="G48" s="735"/>
      <c r="H48" s="735"/>
      <c r="I48" s="59">
        <f>VLOOKUP( $B48, T_Aop[], 4, 1)</f>
        <v>528</v>
      </c>
      <c r="J48" s="567"/>
      <c r="K48" s="155"/>
      <c r="L48" s="156"/>
      <c r="P48" s="27"/>
    </row>
    <row r="49" spans="2:16" ht="12" customHeight="1" x14ac:dyDescent="0.2">
      <c r="B49" s="47">
        <v>312</v>
      </c>
      <c r="C49" s="62" t="str">
        <f>VLOOKUP( $B49, T_Aop[], 5, 1)</f>
        <v>14</v>
      </c>
      <c r="D49" s="758" t="str">
        <f>VLOOKUP( $B49, T_Aop[], 6, 1)</f>
        <v xml:space="preserve">    Prilivi po osnovu derivatnih finansijskih instrumenata</v>
      </c>
      <c r="E49" s="758"/>
      <c r="F49" s="758"/>
      <c r="G49" s="758"/>
      <c r="H49" s="758"/>
      <c r="I49" s="75">
        <f>VLOOKUP( $B49, T_Aop[], 4, 1)</f>
        <v>529</v>
      </c>
      <c r="J49" s="568"/>
      <c r="K49" s="159"/>
      <c r="L49" s="160"/>
      <c r="P49" s="27"/>
    </row>
    <row r="50" spans="2:16" ht="12" customHeight="1" x14ac:dyDescent="0.2">
      <c r="B50" s="47">
        <v>313</v>
      </c>
      <c r="C50" s="58" t="str">
        <f>VLOOKUP( $B50, T_Aop[], 5, 1)</f>
        <v>15</v>
      </c>
      <c r="D50" s="735" t="str">
        <f>VLOOKUP( $B50, T_Aop[], 6, 1)</f>
        <v xml:space="preserve">    Ostali prilivi iz aktivnosti investiranja</v>
      </c>
      <c r="E50" s="735"/>
      <c r="F50" s="735"/>
      <c r="G50" s="735"/>
      <c r="H50" s="735"/>
      <c r="I50" s="59">
        <f>VLOOKUP( $B50, T_Aop[], 4, 1)</f>
        <v>530</v>
      </c>
      <c r="J50" s="567"/>
      <c r="K50" s="155"/>
      <c r="L50" s="156"/>
      <c r="P50" s="27"/>
    </row>
    <row r="51" spans="2:16" ht="12" customHeight="1" x14ac:dyDescent="0.2">
      <c r="B51" s="47">
        <v>314</v>
      </c>
      <c r="C51" s="62" t="str">
        <f>VLOOKUP( $B51, T_Aop[], 5, 1)</f>
        <v>II</v>
      </c>
      <c r="D51" s="759" t="str">
        <f>VLOOKUP( $B51, T_Aop[], 6, 1)</f>
        <v xml:space="preserve">  Odlivi gotovine iz aktivnosti investiranja (532 do 541)</v>
      </c>
      <c r="E51" s="759"/>
      <c r="F51" s="759"/>
      <c r="G51" s="759"/>
      <c r="H51" s="759"/>
      <c r="I51" s="189">
        <f>VLOOKUP( $B51, T_Aop[], 4, 1)</f>
        <v>531</v>
      </c>
      <c r="J51" s="568"/>
      <c r="K51" s="64">
        <f>SUBTOTAL( 9, K52:K61)</f>
        <v>3969101</v>
      </c>
      <c r="L51" s="65">
        <f>SUBTOTAL( 9, L52:L61)</f>
        <v>1903897</v>
      </c>
      <c r="P51" s="27"/>
    </row>
    <row r="52" spans="2:16" ht="23.25" customHeight="1" x14ac:dyDescent="0.2">
      <c r="B52" s="47">
        <v>315</v>
      </c>
      <c r="C52" s="58" t="str">
        <f>VLOOKUP( $B52, T_Aop[], 5, 1)</f>
        <v>1</v>
      </c>
      <c r="D52" s="735" t="str">
        <f>VLOOKUP( $B52, T_Aop[], 6, 1)</f>
        <v xml:space="preserve">    Odlivi gotovine po osnovu kupovine akcija i udjela zavisnih i pridruženih društava i zajedničkih poduhvata</v>
      </c>
      <c r="E52" s="735"/>
      <c r="F52" s="735"/>
      <c r="G52" s="735"/>
      <c r="H52" s="735"/>
      <c r="I52" s="59">
        <f>VLOOKUP( $B52, T_Aop[], 4, 1)</f>
        <v>532</v>
      </c>
      <c r="J52" s="567"/>
      <c r="K52" s="155"/>
      <c r="L52" s="156"/>
      <c r="P52" s="27"/>
    </row>
    <row r="53" spans="2:16" ht="12" customHeight="1" x14ac:dyDescent="0.2">
      <c r="B53" s="47">
        <v>316</v>
      </c>
      <c r="C53" s="62" t="str">
        <f>VLOOKUP( $B53, T_Aop[], 5, 1)</f>
        <v>2</v>
      </c>
      <c r="D53" s="758" t="str">
        <f>VLOOKUP( $B53, T_Aop[], 6, 1)</f>
        <v xml:space="preserve">    Odlivi po osnovu kupovine nekretnina, postrojenja i opreme</v>
      </c>
      <c r="E53" s="758"/>
      <c r="F53" s="758"/>
      <c r="G53" s="758"/>
      <c r="H53" s="758"/>
      <c r="I53" s="75">
        <f>VLOOKUP( $B53, T_Aop[], 4, 1)</f>
        <v>533</v>
      </c>
      <c r="J53" s="568"/>
      <c r="K53" s="159">
        <f>3594024+375077</f>
        <v>3969101</v>
      </c>
      <c r="L53" s="160">
        <v>1723741</v>
      </c>
      <c r="P53" s="27"/>
    </row>
    <row r="54" spans="2:16" ht="12" customHeight="1" x14ac:dyDescent="0.2">
      <c r="B54" s="47">
        <v>317</v>
      </c>
      <c r="C54" s="58" t="str">
        <f>VLOOKUP( $B54, T_Aop[], 5, 1)</f>
        <v>3</v>
      </c>
      <c r="D54" s="735" t="str">
        <f>VLOOKUP( $B54, T_Aop[], 6, 1)</f>
        <v xml:space="preserve">    Odlivi po osnovu kupovine investicionih nekretnina</v>
      </c>
      <c r="E54" s="735"/>
      <c r="F54" s="735"/>
      <c r="G54" s="735"/>
      <c r="H54" s="735"/>
      <c r="I54" s="59">
        <f>VLOOKUP( $B54, T_Aop[], 4, 1)</f>
        <v>534</v>
      </c>
      <c r="J54" s="567"/>
      <c r="K54" s="155"/>
      <c r="L54" s="156"/>
      <c r="P54" s="27"/>
    </row>
    <row r="55" spans="2:16" ht="12" customHeight="1" x14ac:dyDescent="0.2">
      <c r="B55" s="47">
        <v>318</v>
      </c>
      <c r="C55" s="62" t="str">
        <f>VLOOKUP( $B55, T_Aop[], 5, 1)</f>
        <v>4</v>
      </c>
      <c r="D55" s="758" t="str">
        <f>VLOOKUP( $B55, T_Aop[], 6, 1)</f>
        <v xml:space="preserve">    Odlivi po osnovu kupovine bioloških sredstava</v>
      </c>
      <c r="E55" s="758"/>
      <c r="F55" s="758"/>
      <c r="G55" s="758"/>
      <c r="H55" s="758"/>
      <c r="I55" s="75">
        <f>VLOOKUP( $B55, T_Aop[], 4, 1)</f>
        <v>535</v>
      </c>
      <c r="J55" s="568"/>
      <c r="K55" s="159"/>
      <c r="L55" s="160"/>
      <c r="P55" s="27"/>
    </row>
    <row r="56" spans="2:16" ht="12" customHeight="1" x14ac:dyDescent="0.2">
      <c r="B56" s="47">
        <v>319</v>
      </c>
      <c r="C56" s="58" t="str">
        <f>VLOOKUP( $B56, T_Aop[], 5, 1)</f>
        <v>5</v>
      </c>
      <c r="D56" s="735" t="str">
        <f>VLOOKUP( $B56, T_Aop[], 6, 1)</f>
        <v xml:space="preserve">    Odlivi po osnovu kupovine nematerijalnih sredstava</v>
      </c>
      <c r="E56" s="735"/>
      <c r="F56" s="735"/>
      <c r="G56" s="735"/>
      <c r="H56" s="735"/>
      <c r="I56" s="59">
        <f>VLOOKUP( $B56, T_Aop[], 4, 1)</f>
        <v>536</v>
      </c>
      <c r="J56" s="567"/>
      <c r="K56" s="155"/>
      <c r="L56" s="156"/>
      <c r="P56" s="27"/>
    </row>
    <row r="57" spans="2:16" ht="12" customHeight="1" x14ac:dyDescent="0.2">
      <c r="B57" s="47">
        <v>320</v>
      </c>
      <c r="C57" s="62" t="str">
        <f>VLOOKUP( $B57, T_Aop[], 5, 1)</f>
        <v>6</v>
      </c>
      <c r="D57" s="758" t="str">
        <f>VLOOKUP( $B57, T_Aop[], 6, 1)</f>
        <v xml:space="preserve">    Odlivi po osnovu finansijskih sredstava po fer vrijednosti kroz ostali ukupni rezultat</v>
      </c>
      <c r="E57" s="758"/>
      <c r="F57" s="758"/>
      <c r="G57" s="758"/>
      <c r="H57" s="758"/>
      <c r="I57" s="75">
        <f>VLOOKUP( $B57, T_Aop[], 4, 1)</f>
        <v>537</v>
      </c>
      <c r="J57" s="568"/>
      <c r="K57" s="159"/>
      <c r="L57" s="160"/>
      <c r="P57" s="27"/>
    </row>
    <row r="58" spans="2:16" ht="12" customHeight="1" x14ac:dyDescent="0.2">
      <c r="B58" s="47">
        <v>321</v>
      </c>
      <c r="C58" s="58" t="str">
        <f>VLOOKUP( $B58, T_Aop[], 5, 1)</f>
        <v>7</v>
      </c>
      <c r="D58" s="735" t="str">
        <f>VLOOKUP( $B58, T_Aop[], 6, 1)</f>
        <v xml:space="preserve">    Odlivi po osnovu finansijskih sredstva po fer vrijednosti kroz bilans uspjeha</v>
      </c>
      <c r="E58" s="735"/>
      <c r="F58" s="735"/>
      <c r="G58" s="735"/>
      <c r="H58" s="735"/>
      <c r="I58" s="59">
        <f>VLOOKUP( $B58, T_Aop[], 4, 1)</f>
        <v>538</v>
      </c>
      <c r="J58" s="567"/>
      <c r="K58" s="155"/>
      <c r="L58" s="156"/>
      <c r="P58" s="27"/>
    </row>
    <row r="59" spans="2:16" ht="12" customHeight="1" x14ac:dyDescent="0.2">
      <c r="B59" s="47">
        <v>322</v>
      </c>
      <c r="C59" s="62" t="str">
        <f>VLOOKUP( $B59, T_Aop[], 5, 1)</f>
        <v>8</v>
      </c>
      <c r="D59" s="758" t="str">
        <f>VLOOKUP( $B59, T_Aop[], 6, 1)</f>
        <v xml:space="preserve">    Odlivi po osnovu ostalih finansijskih sredstava po amortizovanoj vrijednosti</v>
      </c>
      <c r="E59" s="758"/>
      <c r="F59" s="758"/>
      <c r="G59" s="758"/>
      <c r="H59" s="758"/>
      <c r="I59" s="75">
        <f>VLOOKUP( $B59, T_Aop[], 4, 1)</f>
        <v>539</v>
      </c>
      <c r="J59" s="568"/>
      <c r="K59" s="159"/>
      <c r="L59" s="160"/>
      <c r="P59" s="27"/>
    </row>
    <row r="60" spans="2:16" ht="12" customHeight="1" x14ac:dyDescent="0.2">
      <c r="B60" s="47">
        <v>323</v>
      </c>
      <c r="C60" s="58" t="str">
        <f>VLOOKUP( $B60, T_Aop[], 5, 1)</f>
        <v>9</v>
      </c>
      <c r="D60" s="735" t="str">
        <f>VLOOKUP( $B60, T_Aop[], 6, 1)</f>
        <v xml:space="preserve">    Odlivi po osnovu derivatnih finansijskih instrumenata</v>
      </c>
      <c r="E60" s="735"/>
      <c r="F60" s="735"/>
      <c r="G60" s="735"/>
      <c r="H60" s="735"/>
      <c r="I60" s="59">
        <f>VLOOKUP( $B60, T_Aop[], 4, 1)</f>
        <v>540</v>
      </c>
      <c r="J60" s="567"/>
      <c r="K60" s="155"/>
      <c r="L60" s="156"/>
      <c r="P60" s="27"/>
    </row>
    <row r="61" spans="2:16" ht="12" customHeight="1" x14ac:dyDescent="0.2">
      <c r="B61" s="47">
        <v>324</v>
      </c>
      <c r="C61" s="62" t="str">
        <f>VLOOKUP( $B61, T_Aop[], 5, 1)</f>
        <v>10</v>
      </c>
      <c r="D61" s="758" t="str">
        <f>VLOOKUP( $B61, T_Aop[], 6, 1)</f>
        <v xml:space="preserve">    Ostali odlivi iz aktivnosti investiranja</v>
      </c>
      <c r="E61" s="758"/>
      <c r="F61" s="758"/>
      <c r="G61" s="758"/>
      <c r="H61" s="758"/>
      <c r="I61" s="75">
        <f>VLOOKUP( $B61, T_Aop[], 4, 1)</f>
        <v>541</v>
      </c>
      <c r="J61" s="568"/>
      <c r="K61" s="159"/>
      <c r="L61" s="160">
        <v>180156</v>
      </c>
      <c r="P61" s="27"/>
    </row>
    <row r="62" spans="2:16" x14ac:dyDescent="0.2">
      <c r="B62" s="47">
        <v>325</v>
      </c>
      <c r="C62" s="58" t="str">
        <f>VLOOKUP( $B62, T_Aop[], 5, 1)</f>
        <v>III</v>
      </c>
      <c r="D62" s="740" t="str">
        <f>VLOOKUP( $B62, T_Aop[], 6, 1)</f>
        <v xml:space="preserve">  Neto priliv gotovine iz aktivnosti investiranja (515-531)</v>
      </c>
      <c r="E62" s="740"/>
      <c r="F62" s="740"/>
      <c r="G62" s="740"/>
      <c r="H62" s="740"/>
      <c r="I62" s="178">
        <f>VLOOKUP( $B62, T_Aop[], 4, 1)</f>
        <v>542</v>
      </c>
      <c r="J62" s="567"/>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59" t="str">
        <f>VLOOKUP( $B63, T_Aop[], 6, 1)</f>
        <v xml:space="preserve">  Neto odliv gotovine iz aktivnosti investiranja (531 – 515)</v>
      </c>
      <c r="E63" s="759"/>
      <c r="F63" s="759"/>
      <c r="G63" s="759"/>
      <c r="H63" s="759"/>
      <c r="I63" s="189">
        <f>VLOOKUP( $B63, T_Aop[], 4, 1)</f>
        <v>543</v>
      </c>
      <c r="J63" s="568"/>
      <c r="K63" s="67">
        <f>IF( SUBTOTAL( 9, K35:K50) - SUBTOTAL( 9, K51:K61) &gt;= 0, 0, ABS( SUBTOTAL( 9, K35:K50) - SUBTOTAL( 9, K51:K61)) )</f>
        <v>3950446</v>
      </c>
      <c r="L63" s="68">
        <f>IF( SUBTOTAL( 9, L35:L50) - SUBTOTAL( 9, L51:L61) &gt;= 0, 0, ABS( SUBTOTAL( 9, L35:L50) - SUBTOTAL( 9, L51:L61)) )</f>
        <v>1879658</v>
      </c>
      <c r="P63" s="27"/>
    </row>
    <row r="64" spans="2:16" ht="22.5" customHeight="1" x14ac:dyDescent="0.2">
      <c r="B64" s="47">
        <v>327</v>
      </c>
      <c r="C64" s="58" t="str">
        <f>VLOOKUP( $B64, T_Aop[], 5, 1)</f>
        <v>B_x000D_
I</v>
      </c>
      <c r="D64" s="740" t="str">
        <f>VLOOKUP( $B64, T_Aop[], 6, 1)</f>
        <v>TOKOVI GOTOVINE IZ AKTIVNOSTI FINANSIRANJA
Prilivi gotovine iz aktivnosti finansiranja (545 do 550)</v>
      </c>
      <c r="E64" s="740"/>
      <c r="F64" s="740"/>
      <c r="G64" s="740"/>
      <c r="H64" s="740"/>
      <c r="I64" s="178">
        <f>VLOOKUP( $B64, T_Aop[], 4, 1)</f>
        <v>544</v>
      </c>
      <c r="J64" s="567"/>
      <c r="K64" s="60">
        <f>SUBTOTAL( 9, K65:K70)</f>
        <v>9535098</v>
      </c>
      <c r="L64" s="61">
        <f>SUBTOTAL( 9, L65:L70)</f>
        <v>174000</v>
      </c>
      <c r="P64" s="27"/>
    </row>
    <row r="65" spans="2:16" ht="12" customHeight="1" x14ac:dyDescent="0.2">
      <c r="B65" s="47">
        <v>328</v>
      </c>
      <c r="C65" s="62" t="str">
        <f>VLOOKUP( $B65, T_Aop[], 5, 1)</f>
        <v>1</v>
      </c>
      <c r="D65" s="758" t="str">
        <f>VLOOKUP( $B65, T_Aop[], 6, 1)</f>
        <v xml:space="preserve">    Prilivi po osnovu povećanja osnovnog kapitala</v>
      </c>
      <c r="E65" s="758"/>
      <c r="F65" s="758"/>
      <c r="G65" s="758"/>
      <c r="H65" s="758"/>
      <c r="I65" s="75">
        <f>VLOOKUP( $B65, T_Aop[], 4, 1)</f>
        <v>545</v>
      </c>
      <c r="J65" s="568"/>
      <c r="K65" s="159"/>
      <c r="L65" s="160"/>
      <c r="P65" s="27"/>
    </row>
    <row r="66" spans="2:16" ht="12" customHeight="1" x14ac:dyDescent="0.2">
      <c r="B66" s="47">
        <v>329</v>
      </c>
      <c r="C66" s="58" t="str">
        <f>VLOOKUP( $B66, T_Aop[], 5, 1)</f>
        <v>2</v>
      </c>
      <c r="D66" s="735" t="str">
        <f>VLOOKUP( $B66, T_Aop[], 6, 1)</f>
        <v xml:space="preserve">    Prilivi od prodaje otkupljenih sopstvenih akcija</v>
      </c>
      <c r="E66" s="735"/>
      <c r="F66" s="735"/>
      <c r="G66" s="735"/>
      <c r="H66" s="735"/>
      <c r="I66" s="59">
        <f>VLOOKUP( $B66, T_Aop[], 4, 1)</f>
        <v>546</v>
      </c>
      <c r="J66" s="567"/>
      <c r="K66" s="155"/>
      <c r="L66" s="156"/>
      <c r="P66" s="27"/>
    </row>
    <row r="67" spans="2:16" ht="12" customHeight="1" x14ac:dyDescent="0.2">
      <c r="B67" s="47">
        <v>330</v>
      </c>
      <c r="C67" s="62" t="str">
        <f>VLOOKUP( $B67, T_Aop[], 5, 1)</f>
        <v>3</v>
      </c>
      <c r="D67" s="758" t="str">
        <f>VLOOKUP( $B67, T_Aop[], 6, 1)</f>
        <v xml:space="preserve">    Prilivi po osnovu dugoročnih kredita</v>
      </c>
      <c r="E67" s="758"/>
      <c r="F67" s="758"/>
      <c r="G67" s="758"/>
      <c r="H67" s="758"/>
      <c r="I67" s="75">
        <f>VLOOKUP( $B67, T_Aop[], 4, 1)</f>
        <v>547</v>
      </c>
      <c r="J67" s="568"/>
      <c r="K67" s="159">
        <f>47466+9487632</f>
        <v>9535098</v>
      </c>
      <c r="L67" s="160"/>
      <c r="P67" s="27"/>
    </row>
    <row r="68" spans="2:16" ht="12" customHeight="1" x14ac:dyDescent="0.2">
      <c r="B68" s="47">
        <v>331</v>
      </c>
      <c r="C68" s="58" t="str">
        <f>VLOOKUP( $B68, T_Aop[], 5, 1)</f>
        <v>4</v>
      </c>
      <c r="D68" s="735" t="str">
        <f>VLOOKUP( $B68, T_Aop[], 6, 1)</f>
        <v xml:space="preserve">    Prilivi po osnovu kratkoročnih kredita</v>
      </c>
      <c r="E68" s="735"/>
      <c r="F68" s="735"/>
      <c r="G68" s="735"/>
      <c r="H68" s="735"/>
      <c r="I68" s="59">
        <f>VLOOKUP( $B68, T_Aop[], 4, 1)</f>
        <v>548</v>
      </c>
      <c r="J68" s="567"/>
      <c r="K68" s="155"/>
      <c r="L68" s="156">
        <v>174000</v>
      </c>
      <c r="P68" s="27"/>
    </row>
    <row r="69" spans="2:16" ht="12" customHeight="1" x14ac:dyDescent="0.2">
      <c r="B69" s="47">
        <v>332</v>
      </c>
      <c r="C69" s="66" t="str">
        <f>VLOOKUP( $B69, T_Aop[], 5, 1)</f>
        <v>5</v>
      </c>
      <c r="D69" s="758" t="str">
        <f>VLOOKUP( $B69, T_Aop[], 6, 1)</f>
        <v xml:space="preserve">    Prilivi po osnovu izdatih dužničkih instrumenta</v>
      </c>
      <c r="E69" s="758"/>
      <c r="F69" s="758"/>
      <c r="G69" s="758"/>
      <c r="H69" s="758"/>
      <c r="I69" s="75">
        <f>VLOOKUP( $B69, T_Aop[], 4, 1)</f>
        <v>549</v>
      </c>
      <c r="J69" s="568"/>
      <c r="K69" s="159"/>
      <c r="L69" s="160"/>
      <c r="P69" s="27"/>
    </row>
    <row r="70" spans="2:16" ht="12" customHeight="1" x14ac:dyDescent="0.2">
      <c r="B70" s="47">
        <v>333</v>
      </c>
      <c r="C70" s="58" t="str">
        <f>VLOOKUP( $B70, T_Aop[], 5, 1)</f>
        <v>6</v>
      </c>
      <c r="D70" s="735" t="str">
        <f>VLOOKUP( $B70, T_Aop[], 6, 1)</f>
        <v xml:space="preserve">    Ostali prilivi iz aktivnosti finansiranja </v>
      </c>
      <c r="E70" s="735"/>
      <c r="F70" s="735"/>
      <c r="G70" s="735"/>
      <c r="H70" s="735"/>
      <c r="I70" s="59">
        <f>VLOOKUP( $B70, T_Aop[], 4, 1)</f>
        <v>550</v>
      </c>
      <c r="J70" s="567"/>
      <c r="K70" s="155"/>
      <c r="L70" s="156"/>
      <c r="P70" s="27"/>
    </row>
    <row r="71" spans="2:16" ht="12" customHeight="1" x14ac:dyDescent="0.2">
      <c r="B71" s="47">
        <v>334</v>
      </c>
      <c r="C71" s="66" t="str">
        <f>VLOOKUP( $B71, T_Aop[], 5, 1)</f>
        <v>II</v>
      </c>
      <c r="D71" s="758" t="str">
        <f>VLOOKUP( $B71, T_Aop[], 6, 1)</f>
        <v xml:space="preserve">    Odlivi gotovine iz aktivnosti finansiranja (552 do 558)</v>
      </c>
      <c r="E71" s="758"/>
      <c r="F71" s="758"/>
      <c r="G71" s="758"/>
      <c r="H71" s="758"/>
      <c r="I71" s="75">
        <f>VLOOKUP( $B71, T_Aop[], 4, 1)</f>
        <v>551</v>
      </c>
      <c r="J71" s="568"/>
      <c r="K71" s="492">
        <f>SUBTOTAL( 9, K72:K78)</f>
        <v>12242438</v>
      </c>
      <c r="L71" s="498">
        <f>SUBTOTAL( 9, L72:L78)</f>
        <v>2819951</v>
      </c>
      <c r="P71" s="27"/>
    </row>
    <row r="72" spans="2:16" ht="12" customHeight="1" x14ac:dyDescent="0.2">
      <c r="B72" s="47">
        <v>335</v>
      </c>
      <c r="C72" s="58" t="str">
        <f>VLOOKUP( $B72, T_Aop[], 5, 1)</f>
        <v>1</v>
      </c>
      <c r="D72" s="735" t="str">
        <f>VLOOKUP( $B72, T_Aop[], 6, 1)</f>
        <v xml:space="preserve">    Odlivi po osnovu otkupa sopstvenih akcija i udjela</v>
      </c>
      <c r="E72" s="735"/>
      <c r="F72" s="735"/>
      <c r="G72" s="735"/>
      <c r="H72" s="735"/>
      <c r="I72" s="59">
        <f>VLOOKUP( $B72, T_Aop[], 4, 1)</f>
        <v>552</v>
      </c>
      <c r="J72" s="567"/>
      <c r="K72" s="155"/>
      <c r="L72" s="156"/>
      <c r="P72" s="27"/>
    </row>
    <row r="73" spans="2:16" ht="12" customHeight="1" x14ac:dyDescent="0.2">
      <c r="B73" s="47">
        <v>336</v>
      </c>
      <c r="C73" s="66" t="str">
        <f>VLOOKUP( $B73, T_Aop[], 5, 1)</f>
        <v>2</v>
      </c>
      <c r="D73" s="758" t="str">
        <f>VLOOKUP( $B73, T_Aop[], 6, 1)</f>
        <v xml:space="preserve">    Odlivi po osnovu dugoročnih kredita </v>
      </c>
      <c r="E73" s="758"/>
      <c r="F73" s="758"/>
      <c r="G73" s="758"/>
      <c r="H73" s="758"/>
      <c r="I73" s="75">
        <f>VLOOKUP( $B73, T_Aop[], 4, 1)</f>
        <v>553</v>
      </c>
      <c r="J73" s="568"/>
      <c r="K73" s="159">
        <f>956742+10591663</f>
        <v>11548405</v>
      </c>
      <c r="L73" s="160">
        <v>2811675</v>
      </c>
      <c r="P73" s="27"/>
    </row>
    <row r="74" spans="2:16" ht="12" customHeight="1" x14ac:dyDescent="0.2">
      <c r="B74" s="47">
        <v>337</v>
      </c>
      <c r="C74" s="58" t="str">
        <f>VLOOKUP( $B74, T_Aop[], 5, 1)</f>
        <v>3</v>
      </c>
      <c r="D74" s="735" t="str">
        <f>VLOOKUP( $B74, T_Aop[], 6, 1)</f>
        <v xml:space="preserve">    Odlivi po osnovu kratkoročnih kredita </v>
      </c>
      <c r="E74" s="735"/>
      <c r="F74" s="735"/>
      <c r="G74" s="735"/>
      <c r="H74" s="735"/>
      <c r="I74" s="59">
        <f>VLOOKUP( $B74, T_Aop[], 4, 1)</f>
        <v>554</v>
      </c>
      <c r="J74" s="567"/>
      <c r="K74" s="155"/>
      <c r="L74" s="156"/>
      <c r="P74" s="27"/>
    </row>
    <row r="75" spans="2:16" ht="12" customHeight="1" x14ac:dyDescent="0.2">
      <c r="B75" s="47">
        <v>338</v>
      </c>
      <c r="C75" s="66" t="str">
        <f>VLOOKUP( $B75, T_Aop[], 5, 1)</f>
        <v>4</v>
      </c>
      <c r="D75" s="758" t="str">
        <f>VLOOKUP( $B75, T_Aop[], 6, 1)</f>
        <v xml:space="preserve">    Odlivi po osnovu lizinga </v>
      </c>
      <c r="E75" s="758"/>
      <c r="F75" s="758"/>
      <c r="G75" s="758"/>
      <c r="H75" s="758"/>
      <c r="I75" s="75">
        <f>VLOOKUP( $B75, T_Aop[], 4, 1)</f>
        <v>555</v>
      </c>
      <c r="J75" s="568"/>
      <c r="K75" s="159">
        <v>23501</v>
      </c>
      <c r="L75" s="160">
        <v>8276</v>
      </c>
      <c r="P75" s="27"/>
    </row>
    <row r="76" spans="2:16" ht="12" customHeight="1" x14ac:dyDescent="0.2">
      <c r="B76" s="47">
        <v>339</v>
      </c>
      <c r="C76" s="58" t="str">
        <f>VLOOKUP( $B76, T_Aop[], 5, 1)</f>
        <v>5</v>
      </c>
      <c r="D76" s="735" t="str">
        <f>VLOOKUP( $B76, T_Aop[], 6, 1)</f>
        <v xml:space="preserve">    Odlivi po osnovu dužničkih instrumenata</v>
      </c>
      <c r="E76" s="735"/>
      <c r="F76" s="735"/>
      <c r="G76" s="735"/>
      <c r="H76" s="735"/>
      <c r="I76" s="59">
        <f>VLOOKUP( $B76, T_Aop[], 4, 1)</f>
        <v>556</v>
      </c>
      <c r="J76" s="567"/>
      <c r="K76" s="155">
        <v>670532</v>
      </c>
      <c r="L76" s="156"/>
      <c r="P76" s="27"/>
    </row>
    <row r="77" spans="2:16" ht="12" customHeight="1" x14ac:dyDescent="0.2">
      <c r="B77" s="47">
        <v>340</v>
      </c>
      <c r="C77" s="66" t="str">
        <f>VLOOKUP( $B77, T_Aop[], 5, 1)</f>
        <v>6</v>
      </c>
      <c r="D77" s="758" t="str">
        <f>VLOOKUP( $B77, T_Aop[], 6, 1)</f>
        <v xml:space="preserve">    Odlivi po osnovu isplaćenih dividendi</v>
      </c>
      <c r="E77" s="758"/>
      <c r="F77" s="758"/>
      <c r="G77" s="758"/>
      <c r="H77" s="758"/>
      <c r="I77" s="75">
        <f>VLOOKUP( $B77, T_Aop[], 4, 1)</f>
        <v>557</v>
      </c>
      <c r="J77" s="568"/>
      <c r="K77" s="159"/>
      <c r="L77" s="160"/>
      <c r="P77" s="27"/>
    </row>
    <row r="78" spans="2:16" ht="12" customHeight="1" x14ac:dyDescent="0.2">
      <c r="B78" s="47">
        <v>341</v>
      </c>
      <c r="C78" s="58" t="str">
        <f>VLOOKUP( $B78, T_Aop[], 5, 1)</f>
        <v>7</v>
      </c>
      <c r="D78" s="735" t="str">
        <f>VLOOKUP( $B78, T_Aop[], 6, 1)</f>
        <v xml:space="preserve">    Ostali odlivi iz aktivnosti finansiranja</v>
      </c>
      <c r="E78" s="735"/>
      <c r="F78" s="735"/>
      <c r="G78" s="735"/>
      <c r="H78" s="735"/>
      <c r="I78" s="59">
        <f>VLOOKUP( $B78, T_Aop[], 4, 1)</f>
        <v>558</v>
      </c>
      <c r="J78" s="567"/>
      <c r="K78" s="155"/>
      <c r="L78" s="156"/>
      <c r="P78" s="27"/>
    </row>
    <row r="79" spans="2:16" ht="12" customHeight="1" x14ac:dyDescent="0.2">
      <c r="B79" s="47">
        <v>342</v>
      </c>
      <c r="C79" s="66" t="str">
        <f>VLOOKUP( $B79, T_Aop[], 5, 1)</f>
        <v>III</v>
      </c>
      <c r="D79" s="759" t="str">
        <f>VLOOKUP( $B79, T_Aop[], 6, 1)</f>
        <v xml:space="preserve">  Neto priliv gotovine iz aktivnosti finansiranja (544 – 551)</v>
      </c>
      <c r="E79" s="759"/>
      <c r="F79" s="759"/>
      <c r="G79" s="759"/>
      <c r="H79" s="759"/>
      <c r="I79" s="189">
        <f>VLOOKUP( $B79, T_Aop[], 4, 1)</f>
        <v>559</v>
      </c>
      <c r="J79" s="568"/>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40" t="str">
        <f>VLOOKUP( $B80, T_Aop[], 6, 1)</f>
        <v xml:space="preserve">  Neto odliv gotovine iz aktivnosti finansiranja (551 – 544) </v>
      </c>
      <c r="E80" s="740"/>
      <c r="F80" s="740"/>
      <c r="G80" s="740"/>
      <c r="H80" s="740"/>
      <c r="I80" s="178">
        <f>VLOOKUP( $B80, T_Aop[], 4, 1)</f>
        <v>560</v>
      </c>
      <c r="J80" s="567"/>
      <c r="K80" s="60">
        <f>IF( SUBTOTAL( 9, K64:K70) - SUBTOTAL( 9, K71:K78) &gt;= 0, 0, ABS( SUBTOTAL( 9, K64:K70) - SUBTOTAL( 9, K71:K78)) )</f>
        <v>2707340</v>
      </c>
      <c r="L80" s="61">
        <f>IF( SUBTOTAL( 9, L64:L70) - SUBTOTAL( 9, L71:L78) &gt;= 0, 0, ABS( SUBTOTAL( 9, L64:L70) - SUBTOTAL( 9, L71:L78)) )</f>
        <v>2645951</v>
      </c>
      <c r="P80" s="27"/>
    </row>
    <row r="81" spans="2:16" ht="12.75" customHeight="1" x14ac:dyDescent="0.2">
      <c r="B81" s="47">
        <v>344</v>
      </c>
      <c r="C81" s="66" t="str">
        <f>VLOOKUP( $B81, T_Aop[], 5, 1)</f>
        <v>G</v>
      </c>
      <c r="D81" s="759" t="str">
        <f>VLOOKUP( $B81, T_Aop[], 6, 1)</f>
        <v>UKUPNI PRILIVI GOTOVINE (501 + 515 + 544)</v>
      </c>
      <c r="E81" s="759"/>
      <c r="F81" s="759"/>
      <c r="G81" s="759"/>
      <c r="H81" s="759"/>
      <c r="I81" s="189">
        <f>VLOOKUP( $B81, T_Aop[], 4, 1)</f>
        <v>561</v>
      </c>
      <c r="J81" s="568"/>
      <c r="K81" s="67">
        <f>SUBTOTAL( 9, K21:K25, K35:K50, K64:K70)</f>
        <v>43542022</v>
      </c>
      <c r="L81" s="68">
        <f>SUBTOTAL( 9, L21:L25, L35:L50, L64:L70)</f>
        <v>36673243</v>
      </c>
      <c r="P81" s="27"/>
    </row>
    <row r="82" spans="2:16" ht="12.75" customHeight="1" x14ac:dyDescent="0.2">
      <c r="B82" s="47">
        <v>345</v>
      </c>
      <c r="C82" s="58" t="str">
        <f>VLOOKUP( $B82, T_Aop[], 5, 1)</f>
        <v>D</v>
      </c>
      <c r="D82" s="740" t="str">
        <f>VLOOKUP( $B82, T_Aop[], 6, 1)</f>
        <v>UKUPNI ODLIVI GOTOVINE (506 + 531 + 551)</v>
      </c>
      <c r="E82" s="740"/>
      <c r="F82" s="740"/>
      <c r="G82" s="740"/>
      <c r="H82" s="740"/>
      <c r="I82" s="178">
        <f>VLOOKUP( $B82, T_Aop[], 4, 1)</f>
        <v>562</v>
      </c>
      <c r="J82" s="567"/>
      <c r="K82" s="60">
        <f>SUBTOTAL( 9, K26:K32, K51:K61, K71:K78)</f>
        <v>44655048</v>
      </c>
      <c r="L82" s="61">
        <f>SUBTOTAL( 9, L26:L32, L51:L61, L71:L78)</f>
        <v>36198183</v>
      </c>
      <c r="P82" s="27"/>
    </row>
    <row r="83" spans="2:16" ht="12.75" customHeight="1" x14ac:dyDescent="0.2">
      <c r="B83" s="47">
        <v>346</v>
      </c>
      <c r="C83" s="66" t="str">
        <f>VLOOKUP( $B83, T_Aop[], 5, 1)</f>
        <v>Đ</v>
      </c>
      <c r="D83" s="741" t="str">
        <f>VLOOKUP( $B83, T_Aop[], 6, 1)</f>
        <v>NETO PRILIV GOTOVINE (561 – 562)</v>
      </c>
      <c r="E83" s="741"/>
      <c r="F83" s="741"/>
      <c r="G83" s="741"/>
      <c r="H83" s="741"/>
      <c r="I83" s="179">
        <f>VLOOKUP( $B83, T_Aop[], 4, 1)</f>
        <v>563</v>
      </c>
      <c r="J83" s="568"/>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475060</v>
      </c>
      <c r="P83" s="27"/>
    </row>
    <row r="84" spans="2:16" ht="12.75" customHeight="1" x14ac:dyDescent="0.2">
      <c r="B84" s="47">
        <v>347</v>
      </c>
      <c r="C84" s="58" t="str">
        <f>VLOOKUP( $B84, T_Aop[], 5, 1)</f>
        <v>E</v>
      </c>
      <c r="D84" s="740" t="str">
        <f>VLOOKUP( $B84, T_Aop[], 6, 1)</f>
        <v>NETO ODLIV GOTOVINE (562 – 561)</v>
      </c>
      <c r="E84" s="740"/>
      <c r="F84" s="740"/>
      <c r="G84" s="740"/>
      <c r="H84" s="740"/>
      <c r="I84" s="178">
        <f>VLOOKUP( $B84, T_Aop[], 4, 1)</f>
        <v>564</v>
      </c>
      <c r="J84" s="567"/>
      <c r="K84" s="60">
        <f>IF( SUBTOTAL( 9, K21:K25, K35:K50, K64:K70) - SUBTOTAL( 9, K26:K32, K51:K61, K71:K78) &gt;= 0, 0, ABS( SUBTOTAL( 9, K21:K25, K35:K50, K64:K70) - SUBTOTAL( 9, K26:K32, K51:K61, K71:K78)))</f>
        <v>1113026</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41" t="str">
        <f>VLOOKUP( $B85, T_Aop[], 6, 1)</f>
        <v xml:space="preserve">GOTOVINA NA POČETKU OBRAČUNSKOG PERIODA </v>
      </c>
      <c r="E85" s="741"/>
      <c r="F85" s="741"/>
      <c r="G85" s="741"/>
      <c r="H85" s="741"/>
      <c r="I85" s="179">
        <f>VLOOKUP( $B85, T_Aop[], 4, 1)</f>
        <v>565</v>
      </c>
      <c r="J85" s="526"/>
      <c r="K85" s="161">
        <f>3623434+303787</f>
        <v>3927221</v>
      </c>
      <c r="L85" s="162">
        <v>4331847</v>
      </c>
      <c r="P85" s="27"/>
    </row>
    <row r="86" spans="2:16" ht="12.75" customHeight="1" x14ac:dyDescent="0.2">
      <c r="B86" s="47">
        <v>349</v>
      </c>
      <c r="C86" s="58" t="str">
        <f>VLOOKUP( $B86, T_Aop[], 5, 1)</f>
        <v>Z</v>
      </c>
      <c r="D86" s="740" t="str">
        <f>VLOOKUP( $B86, T_Aop[], 6, 1)</f>
        <v>POZITIVNE KURSNE RAZLIKE PO OSNOVU PRERAČUNA GOTOVINE</v>
      </c>
      <c r="E86" s="740"/>
      <c r="F86" s="740"/>
      <c r="G86" s="740"/>
      <c r="H86" s="740"/>
      <c r="I86" s="178">
        <f>VLOOKUP( $B86, T_Aop[], 4, 1)</f>
        <v>566</v>
      </c>
      <c r="J86" s="527"/>
      <c r="K86" s="81"/>
      <c r="L86" s="82"/>
      <c r="P86" s="27"/>
    </row>
    <row r="87" spans="2:16" ht="12.75" customHeight="1" x14ac:dyDescent="0.2">
      <c r="B87" s="47">
        <v>350</v>
      </c>
      <c r="C87" s="66" t="str">
        <f>VLOOKUP( $B87, T_Aop[], 5, 1)</f>
        <v>I</v>
      </c>
      <c r="D87" s="741" t="str">
        <f>VLOOKUP( $B87, T_Aop[], 6, 1)</f>
        <v>NEGATIVNE KURSNE RAZLIKE PO OSNOVU PRERAČUNA GOTOVINE</v>
      </c>
      <c r="E87" s="741"/>
      <c r="F87" s="741"/>
      <c r="G87" s="741"/>
      <c r="H87" s="741"/>
      <c r="I87" s="179">
        <f>VLOOKUP( $B87, T_Aop[], 4, 1)</f>
        <v>567</v>
      </c>
      <c r="J87" s="526"/>
      <c r="K87" s="161"/>
      <c r="L87" s="162"/>
      <c r="P87" s="27"/>
    </row>
    <row r="88" spans="2:16" ht="12.75" customHeight="1" x14ac:dyDescent="0.2">
      <c r="B88" s="47">
        <v>351</v>
      </c>
      <c r="C88" s="191" t="str">
        <f>VLOOKUP( $B88, T_Aop[], 5, 1)</f>
        <v>J</v>
      </c>
      <c r="D88" s="762" t="str">
        <f>VLOOKUP( $B88, T_Aop[], 6, 1)</f>
        <v>GOTOVINA NA KRAJU OBRAČUNSKOG PERIODA (565 + 563 – 564 + 566 – 567)</v>
      </c>
      <c r="E88" s="762"/>
      <c r="F88" s="762"/>
      <c r="G88" s="762"/>
      <c r="H88" s="762"/>
      <c r="I88" s="413">
        <f>VLOOKUP( $B88, T_Aop[], 4, 1)</f>
        <v>568</v>
      </c>
      <c r="J88" s="528"/>
      <c r="K88" s="414">
        <f>SUBTOTAL( 9, K21:K25, K35:K50, K64:K70,K85,K86) - SUBTOTAL( 9, K26:K32, K51:K61, K71:K78, K87)</f>
        <v>2814195</v>
      </c>
      <c r="L88" s="415">
        <f>SUBTOTAL( 9, L21:L25, L35:L50, L64:L70,L85,L86) - SUBTOTAL( 9, L26:L32, L51:L61, L71:L78, L87)</f>
        <v>4806907</v>
      </c>
      <c r="P88" s="27"/>
    </row>
    <row r="89" spans="2:16" ht="3" customHeight="1" x14ac:dyDescent="0.2"/>
    <row r="90" spans="2:16" ht="12" customHeight="1" x14ac:dyDescent="0.2">
      <c r="C90" s="180" t="str">
        <f>Podnozje_U</f>
        <v>U:</v>
      </c>
      <c r="D90" s="418" t="str">
        <f>Podatak_U</f>
        <v>Obavezan unos podataka u formi!</v>
      </c>
      <c r="E90"/>
      <c r="F90" s="1" t="str">
        <f>Podnozje_Lice_sa_licencom</f>
        <v>Lice sa licencom:</v>
      </c>
      <c r="G90" s="1" t="str">
        <f>Podatak_Lice_sa_licencom</f>
        <v>Slobodan Butulija</v>
      </c>
      <c r="I90" s="37" t="str">
        <f>Podnozje_MP</f>
        <v>(M.P.)</v>
      </c>
      <c r="J90" s="14"/>
      <c r="K90" s="760" t="str">
        <f>Podnozje_Direktor</f>
        <v>Lice ovlašćeno za zastupanje:</v>
      </c>
      <c r="L90" s="760"/>
    </row>
    <row r="91" spans="2:16" ht="21.75" customHeight="1" x14ac:dyDescent="0.2">
      <c r="C91" s="28"/>
      <c r="D91" s="127"/>
      <c r="E91"/>
      <c r="F91" s="13" t="str">
        <f>Podnozje_Broj_licence</f>
        <v>Broj licence:</v>
      </c>
      <c r="G91" s="13" t="str">
        <f>Podatak_Broj_Licence</f>
        <v>0029/24</v>
      </c>
      <c r="H91" s="423"/>
      <c r="I91" s="423"/>
      <c r="J91" s="207"/>
      <c r="K91" s="761" t="str">
        <f>Podatak_Direktor</f>
        <v>Aco Stanišić ma. ecc</v>
      </c>
      <c r="L91" s="761"/>
    </row>
    <row r="92" spans="2:16" ht="20.25" customHeight="1" x14ac:dyDescent="0.2">
      <c r="C92" s="180" t="str">
        <f>Podnozje_Dana</f>
        <v>Dana:</v>
      </c>
      <c r="D92" s="417" t="str">
        <f>Podatak_Dana</f>
        <v>31.10.2024.</v>
      </c>
      <c r="E92"/>
      <c r="F92" s="756"/>
      <c r="G92" s="756"/>
      <c r="K92" s="756"/>
      <c r="L92" s="756"/>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SheetLayoutView="100" workbookViewId="0">
      <pane xSplit="13" ySplit="4" topLeftCell="N5" activePane="bottomRight" state="frozen"/>
      <selection activeCell="S33" sqref="S33"/>
      <selection pane="topRight" activeCell="S33" sqref="S33"/>
      <selection pane="bottomLeft" activeCell="S33" sqref="S33"/>
      <selection pane="bottomRight" activeCell="H96" sqref="H96"/>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60" t="str">
        <f>Zaglavlje_Naziv_preduzeca</f>
        <v xml:space="preserve">Naziv privrednog društva, zadruge, drugog pravnog lica ili preduzetnika: </v>
      </c>
      <c r="D5" s="660"/>
      <c r="E5" s="660"/>
      <c r="J5" s="780" t="str">
        <f>Podatak_MB</f>
        <v>01814788</v>
      </c>
      <c r="K5" s="780"/>
    </row>
    <row r="6" spans="3:11" x14ac:dyDescent="0.2">
      <c r="C6" s="660"/>
      <c r="D6" s="660"/>
      <c r="E6" s="660"/>
      <c r="F6" s="9"/>
      <c r="K6" s="420" t="str">
        <f>Zaglavlje_MB</f>
        <v>Matični broj</v>
      </c>
    </row>
    <row r="7" spans="3:11" ht="12.75" customHeight="1" x14ac:dyDescent="0.2">
      <c r="C7" s="672" t="str">
        <f>Podatak_Naziv_preduzeca</f>
        <v>Elektrodistribucija a.d. Pale</v>
      </c>
      <c r="D7" s="672"/>
      <c r="E7" s="672"/>
      <c r="F7" s="17"/>
      <c r="K7" s="391" t="str">
        <f>Podatak_Sifra_djelatnosti</f>
        <v>35.13</v>
      </c>
    </row>
    <row r="8" spans="3:11" x14ac:dyDescent="0.2">
      <c r="C8" s="125" t="str">
        <f>Zaglavlje_Sjediste</f>
        <v>Sjedište:</v>
      </c>
      <c r="D8" s="767" t="str">
        <f>Podatak_Sjediste</f>
        <v>Pale</v>
      </c>
      <c r="E8" s="767"/>
      <c r="F8" s="17"/>
      <c r="K8" s="420" t="str">
        <f>Zaglavlje_Sifra_djelatnosti</f>
        <v>Šifra djelatnosti</v>
      </c>
    </row>
    <row r="9" spans="3:11" x14ac:dyDescent="0.2">
      <c r="C9" s="671" t="str">
        <f>Zaglavlje_Ziro_racun</f>
        <v>Račun kod ovlašćene organizacije za platni promet:</v>
      </c>
      <c r="D9" s="671"/>
      <c r="E9" s="671"/>
      <c r="F9" s="243"/>
      <c r="K9" s="391" t="str">
        <f>Podatak_JIB</f>
        <v>4400570050004</v>
      </c>
    </row>
    <row r="10" spans="3:11" x14ac:dyDescent="0.2">
      <c r="C10" s="673" t="str">
        <f>Podatak_Ziro_racun_1</f>
        <v>562-012-00002669-48</v>
      </c>
      <c r="D10" s="673"/>
      <c r="E10" s="673"/>
      <c r="F10" s="243"/>
      <c r="K10" s="242" t="str">
        <f>Zaglavlje_JIB</f>
        <v>JIB</v>
      </c>
    </row>
    <row r="11" spans="3:11" x14ac:dyDescent="0.2">
      <c r="C11" s="673" t="str">
        <f>Podatak_Ziro_racun_2</f>
        <v>555-002-00004363-23</v>
      </c>
      <c r="D11" s="673"/>
      <c r="E11" s="673"/>
      <c r="F11" s="243"/>
      <c r="K11" s="245"/>
    </row>
    <row r="12" spans="3:11" x14ac:dyDescent="0.2">
      <c r="C12" s="717" t="str">
        <f>Podatak_Ziro_racun_3</f>
        <v>567-491-10000002-86</v>
      </c>
      <c r="D12" s="717"/>
      <c r="E12" s="717"/>
      <c r="F12" s="14"/>
    </row>
    <row r="13" spans="3:11" x14ac:dyDescent="0.2">
      <c r="C13" s="717" t="str">
        <f>Podatak_Ziro_racun_4</f>
        <v/>
      </c>
      <c r="D13" s="717"/>
      <c r="E13" s="717"/>
      <c r="F13" s="18"/>
      <c r="G13" s="18"/>
      <c r="H13" s="18"/>
      <c r="I13" s="18"/>
      <c r="J13"/>
      <c r="K13"/>
    </row>
    <row r="14" spans="3:11" ht="15.75" x14ac:dyDescent="0.2">
      <c r="C14" s="763" t="str">
        <f>IF( Id_Konsolidovani, Nazivi_bilansa_Konsolidovani_naziv &amp; LOWER( Nazivi_bilansa_Aneks), Nazivi_bilansa_Aneks)</f>
        <v>Konsolidovani aneks</v>
      </c>
      <c r="D14" s="763"/>
      <c r="E14" s="763"/>
      <c r="F14" s="763"/>
      <c r="G14" s="763"/>
      <c r="H14" s="763"/>
      <c r="I14" s="763"/>
      <c r="J14" s="763"/>
      <c r="K14" s="763"/>
    </row>
    <row r="15" spans="3:11" x14ac:dyDescent="0.2">
      <c r="C15" s="764" t="str">
        <f>Nazivi_bilansa_Aneks1</f>
        <v>(Dodatni računovodstveni izvještaj)</v>
      </c>
      <c r="D15" s="764"/>
      <c r="E15" s="764"/>
      <c r="F15" s="764"/>
      <c r="G15" s="764"/>
      <c r="H15" s="764"/>
      <c r="I15" s="764"/>
      <c r="J15" s="764"/>
      <c r="K15" s="764"/>
    </row>
    <row r="16" spans="3:11" x14ac:dyDescent="0.2">
      <c r="C16" s="764" t="str">
        <f>Datumi_Datum_Aneks</f>
        <v>za period od 01.01. do 30.09.2024. godine</v>
      </c>
      <c r="D16" s="764"/>
      <c r="E16" s="764"/>
      <c r="F16" s="764"/>
      <c r="G16" s="764"/>
      <c r="H16" s="764"/>
      <c r="I16" s="764"/>
      <c r="J16" s="764"/>
      <c r="K16" s="764"/>
    </row>
    <row r="17" spans="2:15" x14ac:dyDescent="0.2">
      <c r="C17" s="41"/>
      <c r="D17" s="41"/>
      <c r="E17" s="41"/>
      <c r="F17" s="41"/>
      <c r="G17" s="41"/>
      <c r="H17" s="41"/>
      <c r="I17" s="41"/>
      <c r="J17" s="41"/>
      <c r="K17" s="21" t="str">
        <f>Tabele_zaglavlje_Valuta</f>
        <v>- u konvertibilnim markama -</v>
      </c>
    </row>
    <row r="18" spans="2:15" x14ac:dyDescent="0.2">
      <c r="C18" s="742" t="str">
        <f>Tabele_zaglavlje_Grupa_racuna</f>
        <v>Grupa računa, račun</v>
      </c>
      <c r="D18" s="744" t="str">
        <f>Tabele_zaglavlje_Pozicija</f>
        <v>POZICIJA</v>
      </c>
      <c r="E18" s="744"/>
      <c r="F18" s="744"/>
      <c r="G18" s="744"/>
      <c r="H18" s="744"/>
      <c r="I18" s="753" t="str">
        <f>Tabele_zaglavlje_Oznaka_aop</f>
        <v>Oznaka za AOP</v>
      </c>
      <c r="J18" s="744" t="str">
        <f>Tabele_zaglavlje_Iznos</f>
        <v>Iznos</v>
      </c>
      <c r="K18" s="777"/>
    </row>
    <row r="19" spans="2:15" ht="25.5" x14ac:dyDescent="0.2">
      <c r="C19" s="743"/>
      <c r="D19" s="745"/>
      <c r="E19" s="745"/>
      <c r="F19" s="745"/>
      <c r="G19" s="745"/>
      <c r="H19" s="745"/>
      <c r="I19" s="754"/>
      <c r="J19" s="42" t="str">
        <f>Tabele_zaglavlje_Tekuca_godina</f>
        <v>Tekuća godina</v>
      </c>
      <c r="K19" s="43" t="str">
        <f>Tabele_zaglavlje_Prethodna_godina</f>
        <v>Prethodna godina</v>
      </c>
      <c r="O19" s="134" t="s">
        <v>490</v>
      </c>
    </row>
    <row r="20" spans="2:15" x14ac:dyDescent="0.2">
      <c r="B20" s="44" t="s">
        <v>123</v>
      </c>
      <c r="C20" s="69">
        <v>1</v>
      </c>
      <c r="D20" s="746">
        <v>2</v>
      </c>
      <c r="E20" s="746"/>
      <c r="F20" s="746"/>
      <c r="G20" s="746"/>
      <c r="H20" s="746"/>
      <c r="I20" s="70">
        <v>3</v>
      </c>
      <c r="J20" s="76">
        <v>4</v>
      </c>
      <c r="K20" s="77">
        <v>5</v>
      </c>
    </row>
    <row r="21" spans="2:15" x14ac:dyDescent="0.2">
      <c r="B21" s="47">
        <v>352</v>
      </c>
      <c r="C21" s="71" t="str">
        <f>VLOOKUP( $B21, T_Aop[], 5, 1)</f>
        <v>010</v>
      </c>
      <c r="D21" s="778" t="str">
        <f>VLOOKUP( $B21, T_Aop[], 6, 1)</f>
        <v>Ulaganja u istraživanje i razvoj (dugovni promet bez početnog stanja)</v>
      </c>
      <c r="E21" s="778"/>
      <c r="F21" s="778"/>
      <c r="G21" s="778"/>
      <c r="H21" s="778"/>
      <c r="I21" s="190">
        <f>VLOOKUP( $B21, T_Aop[], 4, 1)</f>
        <v>601</v>
      </c>
      <c r="J21" s="204"/>
      <c r="K21" s="205"/>
      <c r="O21" s="27"/>
    </row>
    <row r="22" spans="2:15" ht="25.5" x14ac:dyDescent="0.2">
      <c r="B22" s="47">
        <v>353</v>
      </c>
      <c r="C22" s="58" t="str">
        <f>VLOOKUP( $B22, T_Aop[], 5, 1)</f>
        <v>201, dio 200</v>
      </c>
      <c r="D22" s="735" t="str">
        <f>VLOOKUP( $B22, T_Aop[], 6, 1)</f>
        <v>Kupci iz Republike Srpske i kupci - povezana pravna lica iz RS (dugovni promet bez početnog stanja)</v>
      </c>
      <c r="E22" s="735"/>
      <c r="F22" s="735"/>
      <c r="G22" s="735"/>
      <c r="H22" s="735"/>
      <c r="I22" s="59">
        <f>VLOOKUP( $B22, T_Aop[], 4, 1)</f>
        <v>602</v>
      </c>
      <c r="J22" s="155"/>
      <c r="K22" s="156"/>
      <c r="O22" s="133" t="s">
        <v>313</v>
      </c>
    </row>
    <row r="23" spans="2:15" ht="25.5" customHeight="1" x14ac:dyDescent="0.2">
      <c r="B23" s="47">
        <v>354</v>
      </c>
      <c r="C23" s="62" t="str">
        <f>VLOOKUP( $B23, T_Aop[], 5, 1)</f>
        <v>202, dio 200</v>
      </c>
      <c r="D23" s="771" t="str">
        <f>VLOOKUP( $B23, T_Aop[], 6, 1)</f>
        <v>Kupci iz Federacije BiH i kupci - povezana pravna lica iz FBiH (dugovni promet bez početnog stanja)</v>
      </c>
      <c r="E23" s="772"/>
      <c r="F23" s="772"/>
      <c r="G23" s="772"/>
      <c r="H23" s="773"/>
      <c r="I23" s="75">
        <f>VLOOKUP( $B23, T_Aop[], 4, 1)</f>
        <v>603</v>
      </c>
      <c r="J23" s="157"/>
      <c r="K23" s="158"/>
      <c r="O23" s="133" t="s">
        <v>313</v>
      </c>
    </row>
    <row r="24" spans="2:15" ht="25.5" customHeight="1" x14ac:dyDescent="0.2">
      <c r="B24" s="47">
        <v>355</v>
      </c>
      <c r="C24" s="58" t="str">
        <f>VLOOKUP( $B24, T_Aop[], 5, 1)</f>
        <v>203, dio 200</v>
      </c>
      <c r="D24" s="774" t="str">
        <f>VLOOKUP( $B24, T_Aop[], 6, 1)</f>
        <v>Kupci iz Brčko Distrikta BiH i kupci - povezana pravna lica iz BD (dugovni promet bez početnog stanja)</v>
      </c>
      <c r="E24" s="775"/>
      <c r="F24" s="775"/>
      <c r="G24" s="775"/>
      <c r="H24" s="776"/>
      <c r="I24" s="59">
        <f>VLOOKUP( $B24, T_Aop[], 4, 1)</f>
        <v>604</v>
      </c>
      <c r="J24" s="155"/>
      <c r="K24" s="156"/>
      <c r="O24" s="133" t="s">
        <v>313</v>
      </c>
    </row>
    <row r="25" spans="2:15" ht="25.5" x14ac:dyDescent="0.2">
      <c r="B25" s="47">
        <v>356</v>
      </c>
      <c r="C25" s="62" t="str">
        <f>VLOOKUP( $B25, T_Aop[], 5, 1)</f>
        <v>432, dio 431</v>
      </c>
      <c r="D25" s="771" t="str">
        <f>VLOOKUP( $B25, T_Aop[], 6, 1)</f>
        <v>Dobavljači iz Republike Srpske i dobavljači - povezana pravna lica iz RS (potražni promet bez početnog stanja)</v>
      </c>
      <c r="E25" s="772"/>
      <c r="F25" s="772"/>
      <c r="G25" s="772"/>
      <c r="H25" s="773"/>
      <c r="I25" s="75">
        <f>VLOOKUP( $B25, T_Aop[], 4, 1)</f>
        <v>605</v>
      </c>
      <c r="J25" s="157"/>
      <c r="K25" s="158"/>
      <c r="O25" s="133" t="s">
        <v>313</v>
      </c>
    </row>
    <row r="26" spans="2:15" ht="25.5" x14ac:dyDescent="0.2">
      <c r="B26" s="47">
        <v>357</v>
      </c>
      <c r="C26" s="58" t="str">
        <f>VLOOKUP( $B26, T_Aop[], 5, 1)</f>
        <v>433, dio 431</v>
      </c>
      <c r="D26" s="774" t="str">
        <f>VLOOKUP( $B26, T_Aop[], 6, 1)</f>
        <v>Dobavljači iz Federacije BiH i dobavljači - povezana pravna lica iz FBiH (potražni promet bez početnog stanja)</v>
      </c>
      <c r="E26" s="775"/>
      <c r="F26" s="775"/>
      <c r="G26" s="775"/>
      <c r="H26" s="776"/>
      <c r="I26" s="59">
        <f>VLOOKUP( $B26, T_Aop[], 4, 1)</f>
        <v>606</v>
      </c>
      <c r="J26" s="155"/>
      <c r="K26" s="156"/>
      <c r="O26" s="133" t="s">
        <v>313</v>
      </c>
    </row>
    <row r="27" spans="2:15" ht="25.5" x14ac:dyDescent="0.2">
      <c r="B27" s="47">
        <v>358</v>
      </c>
      <c r="C27" s="62" t="str">
        <f>VLOOKUP( $B27, T_Aop[], 5, 1)</f>
        <v>434, dio 431</v>
      </c>
      <c r="D27" s="771" t="str">
        <f>VLOOKUP( $B27, T_Aop[], 6, 1)</f>
        <v>Dobavljači iz Brčko Distrikta BiH i dobavljači - povezana pravna lica iz DB (potražni promet bez početnog stanja)</v>
      </c>
      <c r="E27" s="772"/>
      <c r="F27" s="772"/>
      <c r="G27" s="772"/>
      <c r="H27" s="773"/>
      <c r="I27" s="75">
        <f>VLOOKUP( $B27, T_Aop[], 4, 1)</f>
        <v>607</v>
      </c>
      <c r="J27" s="157"/>
      <c r="K27" s="158"/>
      <c r="O27" s="133" t="s">
        <v>313</v>
      </c>
    </row>
    <row r="28" spans="2:15" ht="25.5" customHeight="1" x14ac:dyDescent="0.2">
      <c r="B28" s="47">
        <v>359</v>
      </c>
      <c r="C28" s="58" t="str">
        <f>VLOOKUP( $B28, T_Aop[], 5, 1)</f>
        <v>601, dio 600, dio 605</v>
      </c>
      <c r="D28" s="774" t="str">
        <f>VLOOKUP( $B28, T_Aop[], 6, 1)</f>
        <v>Prihodi od prodaje robe u Republici Srpskoj i prihodi od prodaje robe povezanim pravnim licima u RS</v>
      </c>
      <c r="E28" s="775"/>
      <c r="F28" s="775"/>
      <c r="G28" s="775"/>
      <c r="H28" s="776"/>
      <c r="I28" s="59">
        <f>VLOOKUP( $B28, T_Aop[], 4, 1)</f>
        <v>608</v>
      </c>
      <c r="J28" s="155"/>
      <c r="K28" s="156"/>
      <c r="O28" s="133" t="s">
        <v>313</v>
      </c>
    </row>
    <row r="29" spans="2:15" ht="25.5" customHeight="1" x14ac:dyDescent="0.2">
      <c r="B29" s="47">
        <v>360</v>
      </c>
      <c r="C29" s="62" t="str">
        <f>VLOOKUP( $B29, T_Aop[], 5, 1)</f>
        <v>602, dio 600, dio 605</v>
      </c>
      <c r="D29" s="771" t="str">
        <f>VLOOKUP( $B29, T_Aop[], 6, 1)</f>
        <v>Prihodi od prodaje robe u Federaciji BiH i prihodi od prodaje robe povezanim pravnim licima u FBiH</v>
      </c>
      <c r="E29" s="772"/>
      <c r="F29" s="772"/>
      <c r="G29" s="772"/>
      <c r="H29" s="773"/>
      <c r="I29" s="75">
        <f>VLOOKUP( $B29, T_Aop[], 4, 1)</f>
        <v>609</v>
      </c>
      <c r="J29" s="157"/>
      <c r="K29" s="158"/>
      <c r="O29" s="133" t="s">
        <v>313</v>
      </c>
    </row>
    <row r="30" spans="2:15" ht="25.5" customHeight="1" x14ac:dyDescent="0.2">
      <c r="B30" s="47">
        <v>361</v>
      </c>
      <c r="C30" s="58" t="str">
        <f>VLOOKUP( $B30, T_Aop[], 5, 1)</f>
        <v>603, dio 600, dio 605</v>
      </c>
      <c r="D30" s="774" t="str">
        <f>VLOOKUP( $B30, T_Aop[], 6, 1)</f>
        <v>Prihodi od prodaje robe u Brčko Distriktu BiH i prihodi od prodaje robe povezanim pravnim licima u BD</v>
      </c>
      <c r="E30" s="775"/>
      <c r="F30" s="775"/>
      <c r="G30" s="775"/>
      <c r="H30" s="776"/>
      <c r="I30" s="59">
        <f>VLOOKUP( $B30, T_Aop[], 4, 1)</f>
        <v>610</v>
      </c>
      <c r="J30" s="155"/>
      <c r="K30" s="156"/>
      <c r="O30" s="133" t="s">
        <v>313</v>
      </c>
    </row>
    <row r="31" spans="2:15" ht="25.5" customHeight="1" x14ac:dyDescent="0.2">
      <c r="B31" s="47">
        <v>362</v>
      </c>
      <c r="C31" s="62" t="str">
        <f>VLOOKUP( $B31, T_Aop[], 5, 1)</f>
        <v>611, dio 610, dio 615</v>
      </c>
      <c r="D31" s="771" t="str">
        <f>VLOOKUP( $B31, T_Aop[], 6, 1)</f>
        <v>Prihodi od prodaje proizvoda u Republici Srpskoj i prihodi od prodaje proizvoda povezanim pravnim licima u Republici Srpskoj</v>
      </c>
      <c r="E31" s="772"/>
      <c r="F31" s="772"/>
      <c r="G31" s="772"/>
      <c r="H31" s="773"/>
      <c r="I31" s="75">
        <f>VLOOKUP( $B31, T_Aop[], 4, 1)</f>
        <v>611</v>
      </c>
      <c r="J31" s="157"/>
      <c r="K31" s="158"/>
      <c r="O31"/>
    </row>
    <row r="32" spans="2:15" ht="25.5" customHeight="1" x14ac:dyDescent="0.2">
      <c r="B32" s="47">
        <v>363</v>
      </c>
      <c r="C32" s="58" t="str">
        <f>VLOOKUP( $B32, T_Aop[], 5, 1)</f>
        <v>612, dio 610, dio 615</v>
      </c>
      <c r="D32" s="774" t="str">
        <f>VLOOKUP( $B32, T_Aop[], 6, 1)</f>
        <v>Prihodi od prodaje proizvoda u Federaciji BiH i prihodi od prodaje proizvoda povezanim pravnim licima u Federaciji BiH</v>
      </c>
      <c r="E32" s="775"/>
      <c r="F32" s="775"/>
      <c r="G32" s="775"/>
      <c r="H32" s="776"/>
      <c r="I32" s="59">
        <f>VLOOKUP( $B32, T_Aop[], 4, 1)</f>
        <v>612</v>
      </c>
      <c r="J32" s="155"/>
      <c r="K32" s="156"/>
      <c r="O32"/>
    </row>
    <row r="33" spans="2:15" ht="25.5" customHeight="1" x14ac:dyDescent="0.2">
      <c r="B33" s="47">
        <v>364</v>
      </c>
      <c r="C33" s="62" t="str">
        <f>VLOOKUP( $B33, T_Aop[], 5, 1)</f>
        <v>613, dio 610, dio 615</v>
      </c>
      <c r="D33" s="771" t="str">
        <f>VLOOKUP( $B33, T_Aop[], 6, 1)</f>
        <v>Prihodi od prodaje proizvoda u Brčko Distriktu BiH i prihodi od prodaje učinaka povezanim pravnim licima u Brčko Distriktu BiH</v>
      </c>
      <c r="E33" s="772"/>
      <c r="F33" s="772"/>
      <c r="G33" s="772"/>
      <c r="H33" s="773"/>
      <c r="I33" s="75">
        <f>VLOOKUP( $B33, T_Aop[], 4, 1)</f>
        <v>613</v>
      </c>
      <c r="J33" s="157"/>
      <c r="K33" s="158"/>
      <c r="O33" s="133" t="s">
        <v>313</v>
      </c>
    </row>
    <row r="34" spans="2:15" ht="25.5" customHeight="1" x14ac:dyDescent="0.2">
      <c r="B34" s="47">
        <v>365</v>
      </c>
      <c r="C34" s="58" t="str">
        <f>VLOOKUP( $B34, T_Aop[], 5, 1)</f>
        <v>621, dio 620, dio 625</v>
      </c>
      <c r="D34" s="774" t="str">
        <f>VLOOKUP( $B34, T_Aop[], 6, 1)</f>
        <v xml:space="preserve">Prihodi od pruženih usluga u Republici Srpskoj i prihodi od pruženih usluga povezanim pravnim licima u Republici Srpskoj  </v>
      </c>
      <c r="E34" s="775"/>
      <c r="F34" s="775"/>
      <c r="G34" s="775"/>
      <c r="H34" s="776"/>
      <c r="I34" s="59">
        <f>VLOOKUP( $B34, T_Aop[], 4, 1)</f>
        <v>614</v>
      </c>
      <c r="J34" s="155"/>
      <c r="K34" s="156"/>
      <c r="O34" s="133" t="s">
        <v>313</v>
      </c>
    </row>
    <row r="35" spans="2:15" ht="25.5" customHeight="1" x14ac:dyDescent="0.2">
      <c r="B35" s="47">
        <v>366</v>
      </c>
      <c r="C35" s="62" t="str">
        <f>VLOOKUP( $B35, T_Aop[], 5, 1)</f>
        <v>622, dio 620, dio 625</v>
      </c>
      <c r="D35" s="771" t="str">
        <f>VLOOKUP( $B35, T_Aop[], 6, 1)</f>
        <v>Prihodi od pruženih usluga u Federaciji BiH i prihodi od pruženih usluga povezanim pravnim licima u Federaciji BiH</v>
      </c>
      <c r="E35" s="772"/>
      <c r="F35" s="772"/>
      <c r="G35" s="772"/>
      <c r="H35" s="773"/>
      <c r="I35" s="75">
        <f>VLOOKUP( $B35, T_Aop[], 4, 1)</f>
        <v>615</v>
      </c>
      <c r="J35" s="157"/>
      <c r="K35" s="158"/>
      <c r="O35" s="133" t="s">
        <v>313</v>
      </c>
    </row>
    <row r="36" spans="2:15" ht="25.5" customHeight="1" x14ac:dyDescent="0.2">
      <c r="B36" s="47">
        <v>367</v>
      </c>
      <c r="C36" s="58" t="str">
        <f>VLOOKUP( $B36, T_Aop[], 5, 1)</f>
        <v>623, dio 620, dio 625</v>
      </c>
      <c r="D36" s="774" t="str">
        <f>VLOOKUP( $B36, T_Aop[], 6, 1)</f>
        <v>Prihodi od pruženih usluga u Brčko Distriktu BiH i prihodi od pruženih usluga povezanim pravnim licima u Brčko Distriktu BiH</v>
      </c>
      <c r="E36" s="775"/>
      <c r="F36" s="775"/>
      <c r="G36" s="775"/>
      <c r="H36" s="776"/>
      <c r="I36" s="59">
        <f>VLOOKUP( $B36, T_Aop[], 4, 1)</f>
        <v>616</v>
      </c>
      <c r="J36" s="155"/>
      <c r="K36" s="156"/>
      <c r="O36" s="27"/>
    </row>
    <row r="37" spans="2:15" ht="12.75" customHeight="1" x14ac:dyDescent="0.2">
      <c r="B37" s="47">
        <v>368</v>
      </c>
      <c r="C37" s="188">
        <f>VLOOKUP( $B37, T_Aop[], 5, 1)</f>
        <v>65</v>
      </c>
      <c r="D37" s="708" t="str">
        <f>VLOOKUP( $B37, T_Aop[], 6, 1)</f>
        <v>OSTALI POSLOVNI PRIHODI (618 + 621 + 622 + 623 + 624 + 625 + 626 + 627 + 628)</v>
      </c>
      <c r="E37" s="709"/>
      <c r="F37" s="709"/>
      <c r="G37" s="709"/>
      <c r="H37" s="710"/>
      <c r="I37" s="189">
        <f>VLOOKUP( $B37, T_Aop[], 4, 1)</f>
        <v>617</v>
      </c>
      <c r="J37" s="64">
        <f>SUBTOTAL( 9, J38, J41:J48)</f>
        <v>0</v>
      </c>
      <c r="K37" s="65">
        <f>SUBTOTAL( 9, K38, K41:K48)</f>
        <v>0</v>
      </c>
      <c r="O37" s="27"/>
    </row>
    <row r="38" spans="2:15" ht="12.75" customHeight="1" x14ac:dyDescent="0.2">
      <c r="B38" s="47">
        <v>369</v>
      </c>
      <c r="C38" s="58">
        <f>VLOOKUP( $B38, T_Aop[], 5, 1)</f>
        <v>650</v>
      </c>
      <c r="D38" s="774" t="str">
        <f>VLOOKUP( $B38, T_Aop[], 6, 1)</f>
        <v xml:space="preserve">  a) Prihodi od premija, subvencija, dotacija, regresa, podsticaja i slično</v>
      </c>
      <c r="E38" s="775"/>
      <c r="F38" s="775"/>
      <c r="G38" s="775"/>
      <c r="H38" s="776"/>
      <c r="I38" s="59">
        <f>VLOOKUP( $B38, T_Aop[], 4, 1)</f>
        <v>618</v>
      </c>
      <c r="J38" s="155"/>
      <c r="K38" s="156"/>
      <c r="O38" s="27"/>
    </row>
    <row r="39" spans="2:15" ht="25.5" customHeight="1" x14ac:dyDescent="0.2">
      <c r="B39" s="47">
        <v>370</v>
      </c>
      <c r="C39" s="62" t="str">
        <f>VLOOKUP( $B39, T_Aop[], 5, 1)</f>
        <v>dio 650</v>
      </c>
      <c r="D39" s="771" t="str">
        <f>VLOOKUP( $B39, T_Aop[], 6, 1)</f>
        <v xml:space="preserve">    Od toga: prihodi po osnovu subvencija na proizvode1 (subvencije koje se mogu prikazati po jedinici proizvoda, npr. vozna karta, brašno, hljeb, mlijeko i dr.)</v>
      </c>
      <c r="E39" s="772"/>
      <c r="F39" s="772"/>
      <c r="G39" s="772"/>
      <c r="H39" s="773"/>
      <c r="I39" s="75">
        <f>VLOOKUP( $B39, T_Aop[], 4, 1)</f>
        <v>619</v>
      </c>
      <c r="J39" s="157"/>
      <c r="K39" s="158"/>
      <c r="O39" s="27"/>
    </row>
    <row r="40" spans="2:15" ht="25.5" customHeight="1" x14ac:dyDescent="0.2">
      <c r="B40" s="47">
        <v>371</v>
      </c>
      <c r="C40" s="58" t="str">
        <f>VLOOKUP( $B40, T_Aop[], 5, 1)</f>
        <v>dio 650</v>
      </c>
      <c r="D40" s="774" t="str">
        <f>VLOOKUP( $B40, T_Aop[], 6, 1)</f>
        <v xml:space="preserve">    Od toga: prihodi po osnovu subvencija na proizvodnju2 (na zapošljavanje, platu, kamatnu stopu, za smanjenje zagađenja i dr.)</v>
      </c>
      <c r="E40" s="775"/>
      <c r="F40" s="775"/>
      <c r="G40" s="775"/>
      <c r="H40" s="776"/>
      <c r="I40" s="59">
        <f>VLOOKUP( $B40, T_Aop[], 4, 1)</f>
        <v>620</v>
      </c>
      <c r="J40" s="155"/>
      <c r="K40" s="156"/>
      <c r="O40" s="27"/>
    </row>
    <row r="41" spans="2:15" ht="12.75" customHeight="1" x14ac:dyDescent="0.2">
      <c r="B41" s="47">
        <v>372</v>
      </c>
      <c r="C41" s="62">
        <f>VLOOKUP( $B41, T_Aop[], 5, 1)</f>
        <v>651</v>
      </c>
      <c r="D41" s="771" t="str">
        <f>VLOOKUP( $B41, T_Aop[], 6, 1)</f>
        <v xml:space="preserve">  b) Prihod od zakupnina</v>
      </c>
      <c r="E41" s="772"/>
      <c r="F41" s="772"/>
      <c r="G41" s="772"/>
      <c r="H41" s="773"/>
      <c r="I41" s="75">
        <f>VLOOKUP( $B41, T_Aop[], 4, 1)</f>
        <v>621</v>
      </c>
      <c r="J41" s="157"/>
      <c r="K41" s="158"/>
      <c r="O41" s="133" t="s">
        <v>313</v>
      </c>
    </row>
    <row r="42" spans="2:15" ht="12.75" customHeight="1" x14ac:dyDescent="0.2">
      <c r="B42" s="47">
        <v>373</v>
      </c>
      <c r="C42" s="58">
        <f>VLOOKUP( $B42, T_Aop[], 5, 1)</f>
        <v>652</v>
      </c>
      <c r="D42" s="774" t="str">
        <f>VLOOKUP( $B42, T_Aop[], 6, 1)</f>
        <v xml:space="preserve">  v) Prihod od donacija</v>
      </c>
      <c r="E42" s="775"/>
      <c r="F42" s="775"/>
      <c r="G42" s="775"/>
      <c r="H42" s="776"/>
      <c r="I42" s="59">
        <f>VLOOKUP( $B42, T_Aop[], 4, 1)</f>
        <v>622</v>
      </c>
      <c r="J42" s="155"/>
      <c r="K42" s="156"/>
      <c r="O42" s="133" t="s">
        <v>313</v>
      </c>
    </row>
    <row r="43" spans="2:15" ht="12.75" customHeight="1" x14ac:dyDescent="0.2">
      <c r="B43" s="47">
        <v>374</v>
      </c>
      <c r="C43" s="62">
        <f>VLOOKUP( $B43, T_Aop[], 5, 1)</f>
        <v>653</v>
      </c>
      <c r="D43" s="771" t="str">
        <f>VLOOKUP( $B43, T_Aop[], 6, 1)</f>
        <v xml:space="preserve">  g) Prihod od članarina</v>
      </c>
      <c r="E43" s="772"/>
      <c r="F43" s="772"/>
      <c r="G43" s="772"/>
      <c r="H43" s="773"/>
      <c r="I43" s="75">
        <f>VLOOKUP( $B43, T_Aop[], 4, 1)</f>
        <v>623</v>
      </c>
      <c r="J43" s="157"/>
      <c r="K43" s="158"/>
      <c r="O43" s="27"/>
    </row>
    <row r="44" spans="2:15" ht="12.75" customHeight="1" x14ac:dyDescent="0.2">
      <c r="B44" s="47">
        <v>375</v>
      </c>
      <c r="C44" s="58">
        <f>VLOOKUP( $B44, T_Aop[], 5, 1)</f>
        <v>654</v>
      </c>
      <c r="D44" s="774" t="str">
        <f>VLOOKUP( $B44, T_Aop[], 6, 1)</f>
        <v xml:space="preserve">  d) Prihod od tantijema i licencnih prava</v>
      </c>
      <c r="E44" s="775"/>
      <c r="F44" s="775"/>
      <c r="G44" s="775"/>
      <c r="H44" s="776"/>
      <c r="I44" s="59">
        <f>VLOOKUP( $B44, T_Aop[], 4, 1)</f>
        <v>624</v>
      </c>
      <c r="J44" s="155"/>
      <c r="K44" s="156"/>
      <c r="O44" s="27"/>
    </row>
    <row r="45" spans="2:15" ht="12.75" customHeight="1" x14ac:dyDescent="0.2">
      <c r="B45" s="47">
        <v>376</v>
      </c>
      <c r="C45" s="62">
        <f>VLOOKUP( $B45, T_Aop[], 5, 1)</f>
        <v>655</v>
      </c>
      <c r="D45" s="771" t="str">
        <f>VLOOKUP( $B45, T_Aop[], 6, 1)</f>
        <v xml:space="preserve">  đ) Prihod iz namjenskih izvora finansiranja (iz budžeta, fondova i dr.)</v>
      </c>
      <c r="E45" s="772"/>
      <c r="F45" s="772"/>
      <c r="G45" s="772"/>
      <c r="H45" s="773"/>
      <c r="I45" s="75">
        <f>VLOOKUP( $B45, T_Aop[], 4, 1)</f>
        <v>625</v>
      </c>
      <c r="J45" s="157"/>
      <c r="K45" s="158"/>
      <c r="O45" s="27"/>
    </row>
    <row r="46" spans="2:15" ht="12.75" customHeight="1" x14ac:dyDescent="0.2">
      <c r="B46" s="47">
        <v>377</v>
      </c>
      <c r="C46" s="58" t="str">
        <f>VLOOKUP( $B46, T_Aop[], 5, 1)</f>
        <v>656</v>
      </c>
      <c r="D46" s="774" t="str">
        <f>VLOOKUP( $B46, T_Aop[], 6, 1)</f>
        <v xml:space="preserve">  e) Prihodi od dividendi</v>
      </c>
      <c r="E46" s="775"/>
      <c r="F46" s="775"/>
      <c r="G46" s="775"/>
      <c r="H46" s="776"/>
      <c r="I46" s="59">
        <f>VLOOKUP( $B46, T_Aop[], 4, 1)</f>
        <v>626</v>
      </c>
      <c r="J46" s="155"/>
      <c r="K46" s="156"/>
      <c r="O46" s="27"/>
    </row>
    <row r="47" spans="2:15" ht="12.75" customHeight="1" x14ac:dyDescent="0.2">
      <c r="B47" s="47">
        <v>378</v>
      </c>
      <c r="C47" s="62" t="str">
        <f>VLOOKUP( $B47, T_Aop[], 5, 1)</f>
        <v>657</v>
      </c>
      <c r="D47" s="771" t="str">
        <f>VLOOKUP( $B47, T_Aop[], 6, 1)</f>
        <v xml:space="preserve">  ž) Prihodi od aktiviranja ili potrošnje robe, gotovih proizvoda ili usluga</v>
      </c>
      <c r="E47" s="772"/>
      <c r="F47" s="772"/>
      <c r="G47" s="772"/>
      <c r="H47" s="773"/>
      <c r="I47" s="75">
        <f>VLOOKUP( $B47, T_Aop[], 4, 1)</f>
        <v>627</v>
      </c>
      <c r="J47" s="157"/>
      <c r="K47" s="158"/>
      <c r="O47" s="27"/>
    </row>
    <row r="48" spans="2:15" ht="12.75" customHeight="1" x14ac:dyDescent="0.2">
      <c r="B48" s="47">
        <v>379</v>
      </c>
      <c r="C48" s="58">
        <f>VLOOKUP( $B48, T_Aop[], 5, 1)</f>
        <v>659</v>
      </c>
      <c r="D48" s="774" t="str">
        <f>VLOOKUP( $B48, T_Aop[], 6, 1)</f>
        <v xml:space="preserve">  z) Ostali poslovni prihodi po drugim osnovima</v>
      </c>
      <c r="E48" s="775"/>
      <c r="F48" s="775"/>
      <c r="G48" s="775"/>
      <c r="H48" s="776"/>
      <c r="I48" s="59">
        <f>VLOOKUP( $B48, T_Aop[], 4, 1)</f>
        <v>628</v>
      </c>
      <c r="J48" s="155"/>
      <c r="K48" s="156"/>
      <c r="O48" s="27"/>
    </row>
    <row r="49" spans="2:15" ht="12.75" customHeight="1" x14ac:dyDescent="0.2">
      <c r="B49" s="47">
        <v>380</v>
      </c>
      <c r="C49" s="188" t="str">
        <f>VLOOKUP( $B49, T_Aop[], 5, 1)</f>
        <v>66 + 67</v>
      </c>
      <c r="D49" s="708" t="str">
        <f>VLOOKUP( $B49, T_Aop[], 6, 1)</f>
        <v>FINANSIJSKI I OSTALI PRIHODI</v>
      </c>
      <c r="E49" s="709"/>
      <c r="F49" s="709"/>
      <c r="G49" s="709"/>
      <c r="H49" s="710"/>
      <c r="I49" s="189">
        <f>VLOOKUP( $B49, T_Aop[], 4, 1)</f>
        <v>629</v>
      </c>
      <c r="J49" s="202"/>
      <c r="K49" s="203"/>
      <c r="O49" s="27"/>
    </row>
    <row r="50" spans="2:15" ht="12.75" customHeight="1" x14ac:dyDescent="0.2">
      <c r="B50" s="47">
        <v>381</v>
      </c>
      <c r="C50" s="58" t="str">
        <f>VLOOKUP( $B50, T_Aop[], 5, 1)</f>
        <v>dio 670</v>
      </c>
      <c r="D50" s="774" t="str">
        <f>VLOOKUP( $B50, T_Aop[], 6, 1)</f>
        <v xml:space="preserve">    Od toga: dobici po osnovu prodaje nekretnina, postrojenja i opreme </v>
      </c>
      <c r="E50" s="775"/>
      <c r="F50" s="775"/>
      <c r="G50" s="775"/>
      <c r="H50" s="776"/>
      <c r="I50" s="59">
        <f>VLOOKUP( $B50, T_Aop[], 4, 1)</f>
        <v>630</v>
      </c>
      <c r="J50" s="155"/>
      <c r="K50" s="156"/>
      <c r="O50" s="27"/>
    </row>
    <row r="51" spans="2:15" ht="12.75" customHeight="1" x14ac:dyDescent="0.2">
      <c r="B51" s="47">
        <v>382</v>
      </c>
      <c r="C51" s="62" t="str">
        <f>VLOOKUP( $B51, T_Aop[], 5, 1)</f>
        <v>678</v>
      </c>
      <c r="D51" s="771" t="str">
        <f>VLOOKUP( $B51, T_Aop[], 6, 1)</f>
        <v xml:space="preserve">  Dobici od derivatnih finansijskih instrumenata</v>
      </c>
      <c r="E51" s="772"/>
      <c r="F51" s="772"/>
      <c r="G51" s="772"/>
      <c r="H51" s="773"/>
      <c r="I51" s="75">
        <f>VLOOKUP( $B51, T_Aop[], 4, 1)</f>
        <v>631</v>
      </c>
      <c r="J51" s="157"/>
      <c r="K51" s="158"/>
      <c r="O51" s="54"/>
    </row>
    <row r="52" spans="2:15" ht="12.75" customHeight="1" x14ac:dyDescent="0.2">
      <c r="B52" s="47">
        <v>383</v>
      </c>
      <c r="C52" s="187">
        <f>VLOOKUP( $B52, T_Aop[], 5, 1)</f>
        <v>52</v>
      </c>
      <c r="D52" s="705" t="str">
        <f>VLOOKUP( $B52, T_Aop[], 6, 1)</f>
        <v>TROŠKOVI PLATA, NAKNADA PLATA I OSTALIH LIČNIH PRIMANJA</v>
      </c>
      <c r="E52" s="706"/>
      <c r="F52" s="706"/>
      <c r="G52" s="706"/>
      <c r="H52" s="707"/>
      <c r="I52" s="178">
        <f>VLOOKUP( $B52, T_Aop[], 4, 1)</f>
        <v>632</v>
      </c>
      <c r="J52" s="81"/>
      <c r="K52" s="82"/>
      <c r="O52" s="27"/>
    </row>
    <row r="53" spans="2:15" ht="12.75" customHeight="1" x14ac:dyDescent="0.2">
      <c r="B53" s="47">
        <v>384</v>
      </c>
      <c r="C53" s="62" t="str">
        <f>VLOOKUP( $B53, T_Aop[], 5, 1)</f>
        <v>522 + 523</v>
      </c>
      <c r="D53" s="771" t="str">
        <f>VLOOKUP( $B53, T_Aop[], 6, 1)</f>
        <v xml:space="preserve">  Troškovi bruto naknada članovima upravnog, nadzornog, odbora za reviziju i dr.</v>
      </c>
      <c r="E53" s="772"/>
      <c r="F53" s="772"/>
      <c r="G53" s="772"/>
      <c r="H53" s="773"/>
      <c r="I53" s="75">
        <f>VLOOKUP( $B53, T_Aop[], 4, 1)</f>
        <v>633</v>
      </c>
      <c r="J53" s="157"/>
      <c r="K53" s="203"/>
      <c r="O53" s="27"/>
    </row>
    <row r="54" spans="2:15" ht="12.75" customHeight="1" x14ac:dyDescent="0.2">
      <c r="B54" s="47">
        <v>385</v>
      </c>
      <c r="C54" s="58">
        <f>VLOOKUP( $B54, T_Aop[], 5, 1)</f>
        <v>525</v>
      </c>
      <c r="D54" s="774" t="str">
        <f>VLOOKUP( $B54, T_Aop[], 6, 1)</f>
        <v xml:space="preserve">  Troškovi zaposlenih na službenom putu</v>
      </c>
      <c r="E54" s="775"/>
      <c r="F54" s="775"/>
      <c r="G54" s="775"/>
      <c r="H54" s="776"/>
      <c r="I54" s="59">
        <f>VLOOKUP( $B54, T_Aop[], 4, 1)</f>
        <v>634</v>
      </c>
      <c r="J54" s="155"/>
      <c r="K54" s="156"/>
      <c r="O54" s="27"/>
    </row>
    <row r="55" spans="2:15" ht="12.75" customHeight="1" x14ac:dyDescent="0.2">
      <c r="B55" s="47">
        <v>386</v>
      </c>
      <c r="C55" s="62" t="str">
        <f>VLOOKUP( $B55, T_Aop[], 5, 1)</f>
        <v>dio 525</v>
      </c>
      <c r="D55" s="771" t="str">
        <f>VLOOKUP( $B55, T_Aop[], 6, 1)</f>
        <v xml:space="preserve">    Od toga: dnevnice</v>
      </c>
      <c r="E55" s="772"/>
      <c r="F55" s="772"/>
      <c r="G55" s="772"/>
      <c r="H55" s="773"/>
      <c r="I55" s="75">
        <f>VLOOKUP( $B55, T_Aop[], 4, 1)</f>
        <v>635</v>
      </c>
      <c r="J55" s="157"/>
      <c r="K55" s="158"/>
      <c r="O55" s="27"/>
    </row>
    <row r="56" spans="2:15" ht="12.75" customHeight="1" x14ac:dyDescent="0.2">
      <c r="B56" s="47">
        <v>387</v>
      </c>
      <c r="C56" s="187">
        <f>VLOOKUP( $B56, T_Aop[], 5, 1)</f>
        <v>53</v>
      </c>
      <c r="D56" s="705" t="str">
        <f>VLOOKUP( $B56, T_Aop[], 6, 1)</f>
        <v>TROŠKOVI PROIZVODNIH USLUGA (637 + 638 + 639 + 640 + 641 + 642 + 643 + 644)</v>
      </c>
      <c r="E56" s="706"/>
      <c r="F56" s="706"/>
      <c r="G56" s="706"/>
      <c r="H56" s="707"/>
      <c r="I56" s="178">
        <f>VLOOKUP( $B56, T_Aop[], 4, 1)</f>
        <v>636</v>
      </c>
      <c r="J56" s="556">
        <f>SUBTOTAL( 9, J57:J64)</f>
        <v>0</v>
      </c>
      <c r="K56" s="489">
        <f>SUBTOTAL( 9, K57:K64)</f>
        <v>0</v>
      </c>
      <c r="O56" s="27"/>
    </row>
    <row r="57" spans="2:15" ht="12.75" customHeight="1" x14ac:dyDescent="0.2">
      <c r="B57" s="47">
        <v>388</v>
      </c>
      <c r="C57" s="62">
        <f>VLOOKUP( $B57, T_Aop[], 5, 1)</f>
        <v>530</v>
      </c>
      <c r="D57" s="771" t="str">
        <f>VLOOKUP( $B57, T_Aop[], 6, 1)</f>
        <v xml:space="preserve">  a) Troškovi usluga na izradi učinaka</v>
      </c>
      <c r="E57" s="772"/>
      <c r="F57" s="772"/>
      <c r="G57" s="772"/>
      <c r="H57" s="773"/>
      <c r="I57" s="75">
        <f>VLOOKUP( $B57, T_Aop[], 4, 1)</f>
        <v>637</v>
      </c>
      <c r="J57" s="157"/>
      <c r="K57" s="158"/>
      <c r="O57" s="27"/>
    </row>
    <row r="58" spans="2:15" x14ac:dyDescent="0.2">
      <c r="B58" s="47">
        <v>389</v>
      </c>
      <c r="C58" s="58">
        <f>VLOOKUP( $B58, T_Aop[], 5, 1)</f>
        <v>531</v>
      </c>
      <c r="D58" s="774" t="str">
        <f>VLOOKUP( $B58, T_Aop[], 6, 1)</f>
        <v xml:space="preserve">  b) Troškovi transportnih usluga</v>
      </c>
      <c r="E58" s="775"/>
      <c r="F58" s="775"/>
      <c r="G58" s="775"/>
      <c r="H58" s="776"/>
      <c r="I58" s="59">
        <f>VLOOKUP( $B58, T_Aop[], 4, 1)</f>
        <v>638</v>
      </c>
      <c r="J58" s="155"/>
      <c r="K58" s="156"/>
      <c r="O58" s="27"/>
    </row>
    <row r="59" spans="2:15" ht="12.75" customHeight="1" x14ac:dyDescent="0.2">
      <c r="B59" s="47">
        <v>390</v>
      </c>
      <c r="C59" s="62" t="str">
        <f>VLOOKUP( $B59, T_Aop[], 5, 1)</f>
        <v>dio 532</v>
      </c>
      <c r="D59" s="771" t="str">
        <f>VLOOKUP( $B59, T_Aop[], 6, 1)</f>
        <v xml:space="preserve">  v) Troškovi za usluge tekućeg održavanja osnovnih sredstava</v>
      </c>
      <c r="E59" s="772"/>
      <c r="F59" s="772"/>
      <c r="G59" s="772"/>
      <c r="H59" s="773"/>
      <c r="I59" s="75">
        <f>VLOOKUP( $B59, T_Aop[], 4, 1)</f>
        <v>639</v>
      </c>
      <c r="J59" s="157"/>
      <c r="K59" s="158"/>
      <c r="O59" s="27"/>
    </row>
    <row r="60" spans="2:15" ht="12.75" customHeight="1" x14ac:dyDescent="0.2">
      <c r="B60" s="47">
        <v>391</v>
      </c>
      <c r="C60" s="58" t="str">
        <f>VLOOKUP( $B60, T_Aop[], 5, 1)</f>
        <v>dio 532</v>
      </c>
      <c r="D60" s="774" t="str">
        <f>VLOOKUP( $B60, T_Aop[], 6, 1)</f>
        <v xml:space="preserve">  g) Troškovi za usluge investicionog održavanja osnovnih sredstava</v>
      </c>
      <c r="E60" s="775"/>
      <c r="F60" s="775"/>
      <c r="G60" s="775"/>
      <c r="H60" s="776"/>
      <c r="I60" s="59">
        <f>VLOOKUP( $B60, T_Aop[], 4, 1)</f>
        <v>640</v>
      </c>
      <c r="J60" s="155"/>
      <c r="K60" s="156"/>
      <c r="O60" s="27"/>
    </row>
    <row r="61" spans="2:15" ht="12.75" customHeight="1" x14ac:dyDescent="0.2">
      <c r="B61" s="47">
        <v>392</v>
      </c>
      <c r="C61" s="62">
        <f>VLOOKUP( $B61, T_Aop[], 5, 1)</f>
        <v>533</v>
      </c>
      <c r="D61" s="771" t="str">
        <f>VLOOKUP( $B61, T_Aop[], 6, 1)</f>
        <v xml:space="preserve">  d) Troškovi zakupa</v>
      </c>
      <c r="E61" s="772"/>
      <c r="F61" s="772"/>
      <c r="G61" s="772"/>
      <c r="H61" s="773"/>
      <c r="I61" s="75">
        <f>VLOOKUP( $B61, T_Aop[], 4, 1)</f>
        <v>641</v>
      </c>
      <c r="J61" s="157"/>
      <c r="K61" s="158"/>
      <c r="O61" s="27"/>
    </row>
    <row r="62" spans="2:15" ht="12.75" customHeight="1" x14ac:dyDescent="0.2">
      <c r="B62" s="47">
        <v>393</v>
      </c>
      <c r="C62" s="58" t="str">
        <f>VLOOKUP( $B62, T_Aop[], 5, 1)</f>
        <v>534 + 535</v>
      </c>
      <c r="D62" s="774" t="str">
        <f>VLOOKUP( $B62, T_Aop[], 6, 1)</f>
        <v xml:space="preserve">  đ) Troškovi sajmova, reklame i propagande</v>
      </c>
      <c r="E62" s="775"/>
      <c r="F62" s="775"/>
      <c r="G62" s="775"/>
      <c r="H62" s="776"/>
      <c r="I62" s="59">
        <f>VLOOKUP( $B62, T_Aop[], 4, 1)</f>
        <v>642</v>
      </c>
      <c r="J62" s="155"/>
      <c r="K62" s="156"/>
      <c r="O62" s="27"/>
    </row>
    <row r="63" spans="2:15" ht="12.75" customHeight="1" x14ac:dyDescent="0.2">
      <c r="B63" s="47">
        <v>394</v>
      </c>
      <c r="C63" s="62" t="str">
        <f>VLOOKUP( $B63, T_Aop[], 5, 1)</f>
        <v>536 + 537</v>
      </c>
      <c r="D63" s="771" t="str">
        <f>VLOOKUP( $B63, T_Aop[], 6, 1)</f>
        <v xml:space="preserve">  e) Troškovi istraživanja i razvoja koji se ne kapitalizuju</v>
      </c>
      <c r="E63" s="772"/>
      <c r="F63" s="772"/>
      <c r="G63" s="772"/>
      <c r="H63" s="773"/>
      <c r="I63" s="75">
        <f>VLOOKUP( $B63, T_Aop[], 4, 1)</f>
        <v>643</v>
      </c>
      <c r="J63" s="157"/>
      <c r="K63" s="158"/>
      <c r="O63" s="27"/>
    </row>
    <row r="64" spans="2:15" x14ac:dyDescent="0.2">
      <c r="B64" s="47">
        <v>395</v>
      </c>
      <c r="C64" s="58">
        <f>VLOOKUP( $B64, T_Aop[], 5, 1)</f>
        <v>539</v>
      </c>
      <c r="D64" s="774" t="str">
        <f>VLOOKUP( $B64, T_Aop[], 6, 1)</f>
        <v xml:space="preserve">  ž) Troškovi ostalih usluga</v>
      </c>
      <c r="E64" s="775"/>
      <c r="F64" s="775"/>
      <c r="G64" s="775"/>
      <c r="H64" s="776"/>
      <c r="I64" s="59">
        <f>VLOOKUP( $B64, T_Aop[], 4, 1)</f>
        <v>644</v>
      </c>
      <c r="J64" s="155"/>
      <c r="K64" s="156"/>
      <c r="O64" s="27"/>
    </row>
    <row r="65" spans="2:15" ht="12.75" customHeight="1" x14ac:dyDescent="0.2">
      <c r="B65" s="47">
        <v>396</v>
      </c>
      <c r="C65" s="62" t="str">
        <f>VLOOKUP( $B65, T_Aop[], 5, 1)</f>
        <v>dio 539</v>
      </c>
      <c r="D65" s="771" t="str">
        <f>VLOOKUP( $B65, T_Aop[], 6, 1)</f>
        <v xml:space="preserve">    Od toga: bruto iznosi naknada po ugovorima sa fizičkim licima van radnog odnosa</v>
      </c>
      <c r="E65" s="772"/>
      <c r="F65" s="772"/>
      <c r="G65" s="772"/>
      <c r="H65" s="773"/>
      <c r="I65" s="75">
        <f>VLOOKUP( $B65, T_Aop[], 4, 1)</f>
        <v>645</v>
      </c>
      <c r="J65" s="157"/>
      <c r="K65" s="158"/>
      <c r="O65" s="27"/>
    </row>
    <row r="66" spans="2:15" ht="12.75" customHeight="1" x14ac:dyDescent="0.2">
      <c r="B66" s="47">
        <v>397</v>
      </c>
      <c r="C66" s="187">
        <f>VLOOKUP( $B66, T_Aop[], 5, 1)</f>
        <v>55</v>
      </c>
      <c r="D66" s="705" t="str">
        <f>VLOOKUP( $B66, T_Aop[], 6, 1)</f>
        <v>NEMATERIJALNI TROŠKOVI (647 + 650 + 651 + 652 + 653 + 654 + 655 + 656)</v>
      </c>
      <c r="E66" s="706"/>
      <c r="F66" s="706"/>
      <c r="G66" s="706"/>
      <c r="H66" s="707"/>
      <c r="I66" s="178">
        <f>VLOOKUP( $B66, T_Aop[], 4, 1)</f>
        <v>646</v>
      </c>
      <c r="J66" s="556">
        <f>SUBTOTAL( 9, J67, J70:J76)</f>
        <v>0</v>
      </c>
      <c r="K66" s="489">
        <f>SUBTOTAL( 9, K67, K70:K76)</f>
        <v>0</v>
      </c>
      <c r="O66" s="27"/>
    </row>
    <row r="67" spans="2:15" ht="12.75" customHeight="1" x14ac:dyDescent="0.2">
      <c r="B67" s="47">
        <v>398</v>
      </c>
      <c r="C67" s="62">
        <f>VLOOKUP( $B67, T_Aop[], 5, 1)</f>
        <v>550</v>
      </c>
      <c r="D67" s="771" t="str">
        <f>VLOOKUP( $B67, T_Aop[], 6, 1)</f>
        <v xml:space="preserve">  a) Troškovi ostalih usluga</v>
      </c>
      <c r="E67" s="772"/>
      <c r="F67" s="772"/>
      <c r="G67" s="772"/>
      <c r="H67" s="773"/>
      <c r="I67" s="75">
        <f>VLOOKUP( $B67, T_Aop[], 4, 1)</f>
        <v>647</v>
      </c>
      <c r="J67" s="157"/>
      <c r="K67" s="158"/>
      <c r="O67" s="27"/>
    </row>
    <row r="68" spans="2:15" ht="12.75" customHeight="1" x14ac:dyDescent="0.2">
      <c r="B68" s="47">
        <v>399</v>
      </c>
      <c r="C68" s="58" t="str">
        <f>VLOOKUP( $B68, T_Aop[], 5, 1)</f>
        <v>dio 550</v>
      </c>
      <c r="D68" s="774" t="str">
        <f>VLOOKUP( $B68, T_Aop[], 6, 1)</f>
        <v xml:space="preserve">    Od toga: troškovi stručnog obrazovanja i usavršavanja zaposlenih</v>
      </c>
      <c r="E68" s="775"/>
      <c r="F68" s="775"/>
      <c r="G68" s="775"/>
      <c r="H68" s="776"/>
      <c r="I68" s="59">
        <f>VLOOKUP( $B68, T_Aop[], 4, 1)</f>
        <v>648</v>
      </c>
      <c r="J68" s="155"/>
      <c r="K68" s="156"/>
      <c r="O68" s="27"/>
    </row>
    <row r="69" spans="2:15" ht="12.75" customHeight="1" x14ac:dyDescent="0.2">
      <c r="B69" s="47">
        <v>400</v>
      </c>
      <c r="C69" s="62" t="str">
        <f>VLOOKUP( $B69, T_Aop[], 5, 1)</f>
        <v>dio 550</v>
      </c>
      <c r="D69" s="771" t="str">
        <f>VLOOKUP( $B69, T_Aop[], 6, 1)</f>
        <v xml:space="preserve">    Od toga: bruto iznosi naknada po ugovorima sa fizičkim licima van radnog odnosa</v>
      </c>
      <c r="E69" s="772"/>
      <c r="F69" s="772"/>
      <c r="G69" s="772"/>
      <c r="H69" s="773"/>
      <c r="I69" s="75">
        <f>VLOOKUP( $B69, T_Aop[], 4, 1)</f>
        <v>649</v>
      </c>
      <c r="J69" s="157"/>
      <c r="K69" s="158"/>
      <c r="O69" s="27"/>
    </row>
    <row r="70" spans="2:15" ht="12.75" customHeight="1" x14ac:dyDescent="0.2">
      <c r="B70" s="47">
        <v>401</v>
      </c>
      <c r="C70" s="58">
        <f>VLOOKUP( $B70, T_Aop[], 5, 1)</f>
        <v>551</v>
      </c>
      <c r="D70" s="774" t="str">
        <f>VLOOKUP( $B70, T_Aop[], 6, 1)</f>
        <v xml:space="preserve">  b) Troškovi reprezentacije</v>
      </c>
      <c r="E70" s="775"/>
      <c r="F70" s="775"/>
      <c r="G70" s="775"/>
      <c r="H70" s="776"/>
      <c r="I70" s="59">
        <f>VLOOKUP( $B70, T_Aop[], 4, 1)</f>
        <v>650</v>
      </c>
      <c r="J70" s="155"/>
      <c r="K70" s="156"/>
      <c r="O70" s="27"/>
    </row>
    <row r="71" spans="2:15" ht="12.75" customHeight="1" x14ac:dyDescent="0.2">
      <c r="B71" s="47">
        <v>402</v>
      </c>
      <c r="C71" s="62">
        <f>VLOOKUP( $B71, T_Aop[], 5, 1)</f>
        <v>552</v>
      </c>
      <c r="D71" s="771" t="str">
        <f>VLOOKUP( $B71, T_Aop[], 6, 1)</f>
        <v xml:space="preserve">  v) Troškovi premije osiguranja</v>
      </c>
      <c r="E71" s="772"/>
      <c r="F71" s="772"/>
      <c r="G71" s="772"/>
      <c r="H71" s="773"/>
      <c r="I71" s="75">
        <f>VLOOKUP( $B71, T_Aop[], 4, 1)</f>
        <v>651</v>
      </c>
      <c r="J71" s="157"/>
      <c r="K71" s="158"/>
      <c r="O71"/>
    </row>
    <row r="72" spans="2:15" ht="12.75" customHeight="1" x14ac:dyDescent="0.2">
      <c r="B72" s="47">
        <v>403</v>
      </c>
      <c r="C72" s="58">
        <f>VLOOKUP( $B72, T_Aop[], 5, 1)</f>
        <v>553</v>
      </c>
      <c r="D72" s="774" t="str">
        <f>VLOOKUP( $B72, T_Aop[], 6, 1)</f>
        <v xml:space="preserve">  g) Troškovi platnog prometa</v>
      </c>
      <c r="E72" s="775"/>
      <c r="F72" s="775"/>
      <c r="G72" s="775"/>
      <c r="H72" s="776"/>
      <c r="I72" s="59">
        <f>VLOOKUP( $B72, T_Aop[], 4, 1)</f>
        <v>652</v>
      </c>
      <c r="J72" s="155"/>
      <c r="K72" s="156"/>
      <c r="O72"/>
    </row>
    <row r="73" spans="2:15" ht="12.75" customHeight="1" x14ac:dyDescent="0.2">
      <c r="B73" s="47">
        <v>404</v>
      </c>
      <c r="C73" s="62">
        <f>VLOOKUP( $B73, T_Aop[], 5, 1)</f>
        <v>554</v>
      </c>
      <c r="D73" s="771" t="str">
        <f>VLOOKUP( $B73, T_Aop[], 6, 1)</f>
        <v xml:space="preserve">  d) Troškovi članarina</v>
      </c>
      <c r="E73" s="772"/>
      <c r="F73" s="772"/>
      <c r="G73" s="772"/>
      <c r="H73" s="773"/>
      <c r="I73" s="75">
        <f>VLOOKUP( $B73, T_Aop[], 4, 1)</f>
        <v>653</v>
      </c>
      <c r="J73" s="157"/>
      <c r="K73" s="158"/>
      <c r="O73"/>
    </row>
    <row r="74" spans="2:15" ht="12.75" customHeight="1" x14ac:dyDescent="0.2">
      <c r="B74" s="47">
        <v>405</v>
      </c>
      <c r="C74" s="58" t="str">
        <f>VLOOKUP( $B74, T_Aop[], 5, 1)</f>
        <v>dio 555</v>
      </c>
      <c r="D74" s="774" t="str">
        <f>VLOOKUP( $B74, T_Aop[], 6, 1)</f>
        <v xml:space="preserve">  đ) Troškovi poreza na proizvode3, carine, boravišne takse, porez na igre na sreću i sl.</v>
      </c>
      <c r="E74" s="775"/>
      <c r="F74" s="775"/>
      <c r="G74" s="775"/>
      <c r="H74" s="776"/>
      <c r="I74" s="59">
        <f>VLOOKUP( $B74, T_Aop[], 4, 1)</f>
        <v>654</v>
      </c>
      <c r="J74" s="155"/>
      <c r="K74" s="156"/>
      <c r="O74" s="27"/>
    </row>
    <row r="75" spans="2:15" ht="25.5" customHeight="1" x14ac:dyDescent="0.2">
      <c r="B75" s="47">
        <v>406</v>
      </c>
      <c r="C75" s="62" t="str">
        <f>VLOOKUP( $B75, T_Aop[], 5, 1)</f>
        <v>dio 555</v>
      </c>
      <c r="D75" s="771" t="str">
        <f>VLOOKUP( $B75, T_Aop[], 6, 1)</f>
        <v xml:space="preserve">  e) Troškovi poreza na proizvodnju4: na imovinu, na zemljište, za korišćenje voda i šuma, za protivpožarnu zaštitu i sl.</v>
      </c>
      <c r="E75" s="772"/>
      <c r="F75" s="772"/>
      <c r="G75" s="772"/>
      <c r="H75" s="773"/>
      <c r="I75" s="75">
        <f>VLOOKUP( $B75, T_Aop[], 4, 1)</f>
        <v>655</v>
      </c>
      <c r="J75" s="157"/>
      <c r="K75" s="158"/>
      <c r="O75" s="27"/>
    </row>
    <row r="76" spans="2:15" ht="12.75" customHeight="1" x14ac:dyDescent="0.2">
      <c r="B76" s="47">
        <v>407</v>
      </c>
      <c r="C76" s="58">
        <f>VLOOKUP( $B76, T_Aop[], 5, 1)</f>
        <v>559</v>
      </c>
      <c r="D76" s="774" t="str">
        <f>VLOOKUP( $B76, T_Aop[], 6, 1)</f>
        <v xml:space="preserve">  ž) Ostali nematerijalni troškovi</v>
      </c>
      <c r="E76" s="775"/>
      <c r="F76" s="775"/>
      <c r="G76" s="775"/>
      <c r="H76" s="776"/>
      <c r="I76" s="59">
        <f>VLOOKUP( $B76, T_Aop[], 4, 1)</f>
        <v>656</v>
      </c>
      <c r="J76" s="155"/>
      <c r="K76" s="156"/>
      <c r="O76" s="27"/>
    </row>
    <row r="77" spans="2:15" ht="12.75" customHeight="1" x14ac:dyDescent="0.2">
      <c r="B77" s="47">
        <v>408</v>
      </c>
      <c r="C77" s="62">
        <f>VLOOKUP( $B77, T_Aop[], 5, 1)</f>
        <v>0</v>
      </c>
      <c r="D77" s="771" t="str">
        <f>VLOOKUP( $B77, T_Aop[], 6, 1)</f>
        <v>OBAVEZE I POTRAŽIVANJA</v>
      </c>
      <c r="E77" s="772"/>
      <c r="F77" s="772"/>
      <c r="G77" s="772"/>
      <c r="H77" s="773"/>
      <c r="I77" s="75">
        <f>VLOOKUP( $B77, T_Aop[], 4, 1)</f>
        <v>657</v>
      </c>
      <c r="J77" s="157"/>
      <c r="K77" s="158"/>
      <c r="O77" s="27"/>
    </row>
    <row r="78" spans="2:15" ht="12.75" customHeight="1" x14ac:dyDescent="0.2">
      <c r="B78" s="47">
        <v>409</v>
      </c>
      <c r="C78" s="58" t="str">
        <f>VLOOKUP( $B78, T_Aop[], 5, 1)</f>
        <v>47, osim 479</v>
      </c>
      <c r="D78" s="774" t="str">
        <f>VLOOKUP( $B78, T_Aop[], 6, 1)</f>
        <v xml:space="preserve">  Obračunati (fakturisani) porez na dodatu vrijednost (kumulativan promet konta)</v>
      </c>
      <c r="E78" s="775"/>
      <c r="F78" s="775"/>
      <c r="G78" s="775"/>
      <c r="H78" s="776"/>
      <c r="I78" s="59">
        <f>VLOOKUP( $B78, T_Aop[], 4, 1)</f>
        <v>658</v>
      </c>
      <c r="J78" s="155"/>
      <c r="K78" s="156"/>
      <c r="O78" s="133" t="s">
        <v>313</v>
      </c>
    </row>
    <row r="79" spans="2:15" ht="12.75" customHeight="1" x14ac:dyDescent="0.2">
      <c r="B79" s="47">
        <v>410</v>
      </c>
      <c r="C79" s="62" t="str">
        <f>VLOOKUP( $B79, T_Aop[], 5, 1)</f>
        <v>27, osim 279</v>
      </c>
      <c r="D79" s="771" t="str">
        <f>VLOOKUP( $B79, T_Aop[], 6, 1)</f>
        <v xml:space="preserve">  Ulazni porez na dodatu vrijednost (kumulativan promet konta)</v>
      </c>
      <c r="E79" s="772"/>
      <c r="F79" s="772"/>
      <c r="G79" s="772"/>
      <c r="H79" s="773"/>
      <c r="I79" s="75">
        <f>VLOOKUP( $B79, T_Aop[], 4, 1)</f>
        <v>659</v>
      </c>
      <c r="J79" s="157"/>
      <c r="K79" s="158"/>
      <c r="O79" s="27"/>
    </row>
    <row r="80" spans="2:15" ht="12.75" customHeight="1" x14ac:dyDescent="0.2">
      <c r="B80" s="47">
        <v>411</v>
      </c>
      <c r="C80" s="58">
        <f>VLOOKUP( $B80, T_Aop[], 5, 1)</f>
        <v>479</v>
      </c>
      <c r="D80" s="774" t="str">
        <f>VLOOKUP( $B80, T_Aop[], 6, 1)</f>
        <v xml:space="preserve">  Obaveze za PDV po osnovu razlike između obračunatog i akontacionog PDV-a (saldo konta)</v>
      </c>
      <c r="E80" s="775"/>
      <c r="F80" s="775"/>
      <c r="G80" s="775"/>
      <c r="H80" s="776"/>
      <c r="I80" s="59">
        <f>VLOOKUP( $B80, T_Aop[], 4, 1)</f>
        <v>660</v>
      </c>
      <c r="J80" s="155"/>
      <c r="K80" s="156"/>
      <c r="O80" s="27"/>
    </row>
    <row r="81" spans="2:15" ht="12.75" customHeight="1" x14ac:dyDescent="0.2">
      <c r="B81" s="47">
        <v>412</v>
      </c>
      <c r="C81" s="62">
        <f>VLOOKUP( $B81, T_Aop[], 5, 1)</f>
        <v>279</v>
      </c>
      <c r="D81" s="771" t="str">
        <f>VLOOKUP( $B81, T_Aop[], 6, 1)</f>
        <v xml:space="preserve">  Potraživanja po osnovu razlike između akontacionog i obračunatog PDV-a (saldo konta)</v>
      </c>
      <c r="E81" s="772"/>
      <c r="F81" s="772"/>
      <c r="G81" s="772"/>
      <c r="H81" s="773"/>
      <c r="I81" s="75">
        <f>VLOOKUP( $B81, T_Aop[], 4, 1)</f>
        <v>661</v>
      </c>
      <c r="J81" s="157"/>
      <c r="K81" s="158"/>
      <c r="O81" s="27"/>
    </row>
    <row r="82" spans="2:15" ht="12.75" customHeight="1" x14ac:dyDescent="0.2">
      <c r="B82" s="47">
        <v>413</v>
      </c>
      <c r="C82" s="58">
        <f>VLOOKUP( $B82, T_Aop[], 5, 1)</f>
        <v>271</v>
      </c>
      <c r="D82" s="774" t="str">
        <f>VLOOKUP( $B82, T_Aop[], 6, 1)</f>
        <v xml:space="preserve">  PDV plaćen pri uvozu (kumulativan promet konta)</v>
      </c>
      <c r="E82" s="775"/>
      <c r="F82" s="775"/>
      <c r="G82" s="775"/>
      <c r="H82" s="776"/>
      <c r="I82" s="59">
        <f>VLOOKUP( $B82, T_Aop[], 4, 1)</f>
        <v>662</v>
      </c>
      <c r="J82" s="155"/>
      <c r="K82" s="156"/>
      <c r="O82" s="27"/>
    </row>
    <row r="83" spans="2:15" ht="12.75" customHeight="1" x14ac:dyDescent="0.2">
      <c r="B83" s="47">
        <v>414</v>
      </c>
      <c r="C83" s="62">
        <f>VLOOKUP( $B83, T_Aop[], 5, 1)</f>
        <v>484</v>
      </c>
      <c r="D83" s="771" t="str">
        <f>VLOOKUP( $B83, T_Aop[], 6, 1)</f>
        <v xml:space="preserve">  Obaveze za PDV plaćen pri uvozu (kumulativan promet konta)</v>
      </c>
      <c r="E83" s="772"/>
      <c r="F83" s="772"/>
      <c r="G83" s="772"/>
      <c r="H83" s="773"/>
      <c r="I83" s="75">
        <f>VLOOKUP( $B83, T_Aop[], 4, 1)</f>
        <v>663</v>
      </c>
      <c r="J83" s="157"/>
      <c r="K83" s="158"/>
      <c r="O83" s="27"/>
    </row>
    <row r="84" spans="2:15" ht="12.75" customHeight="1" x14ac:dyDescent="0.2">
      <c r="B84" s="47">
        <v>415</v>
      </c>
      <c r="C84" s="58">
        <f>VLOOKUP( $B84, T_Aop[], 5, 1)</f>
        <v>480</v>
      </c>
      <c r="D84" s="774" t="str">
        <f>VLOOKUP( $B84, T_Aop[], 6, 1)</f>
        <v xml:space="preserve">  Obaveze za akcize (kumulativan promet konta)</v>
      </c>
      <c r="E84" s="775"/>
      <c r="F84" s="775"/>
      <c r="G84" s="775"/>
      <c r="H84" s="776"/>
      <c r="I84" s="59">
        <f>VLOOKUP( $B84, T_Aop[], 4, 1)</f>
        <v>664</v>
      </c>
      <c r="J84" s="155"/>
      <c r="K84" s="156"/>
      <c r="O84" s="27"/>
    </row>
    <row r="85" spans="2:15" ht="12.75" customHeight="1" x14ac:dyDescent="0.2">
      <c r="B85" s="47">
        <v>416</v>
      </c>
      <c r="C85" s="62" t="str">
        <f>VLOOKUP( $B85, T_Aop[], 5, 1)</f>
        <v>nema konta</v>
      </c>
      <c r="D85" s="771" t="str">
        <f>VLOOKUP( $B85, T_Aop[], 6, 1)</f>
        <v xml:space="preserve">  Prihodi ostvareni na bazi podugovaranja</v>
      </c>
      <c r="E85" s="772"/>
      <c r="F85" s="772"/>
      <c r="G85" s="772"/>
      <c r="H85" s="773"/>
      <c r="I85" s="75">
        <f>VLOOKUP( $B85, T_Aop[], 4, 1)</f>
        <v>665</v>
      </c>
      <c r="J85" s="157"/>
      <c r="K85" s="158"/>
      <c r="O85" s="27"/>
    </row>
    <row r="86" spans="2:15" ht="12.75" customHeight="1" x14ac:dyDescent="0.2">
      <c r="B86" s="47">
        <v>417</v>
      </c>
      <c r="C86" s="58" t="str">
        <f>VLOOKUP( $B86, T_Aop[], 5, 1)</f>
        <v>nema konta</v>
      </c>
      <c r="D86" s="774" t="str">
        <f>VLOOKUP( $B86, T_Aop[], 6, 1)</f>
        <v xml:space="preserve">  Plaćanja podugovaračima za rad, isporučene proizvode i usluge</v>
      </c>
      <c r="E86" s="775"/>
      <c r="F86" s="775"/>
      <c r="G86" s="775"/>
      <c r="H86" s="776"/>
      <c r="I86" s="59">
        <f>VLOOKUP( $B86, T_Aop[], 4, 1)</f>
        <v>666</v>
      </c>
      <c r="J86" s="155"/>
      <c r="K86" s="156"/>
      <c r="O86" s="27"/>
    </row>
    <row r="87" spans="2:15" ht="12.75" customHeight="1" x14ac:dyDescent="0.2">
      <c r="B87" s="47">
        <v>418</v>
      </c>
      <c r="C87" s="543" t="str">
        <f>VLOOKUP( $B87, T_Aop[], 5, 1)</f>
        <v>nema konta</v>
      </c>
      <c r="D87" s="768" t="str">
        <f>VLOOKUP( $B87, T_Aop[], 6, 1)</f>
        <v xml:space="preserve">  Ukupan broj odrađenih časova rada (efektivni časovi rada bez bolovanja, godišnjih odmora, državnih praznika i sl.)</v>
      </c>
      <c r="E87" s="769"/>
      <c r="F87" s="769"/>
      <c r="G87" s="769"/>
      <c r="H87" s="770"/>
      <c r="I87" s="544">
        <f>VLOOKUP( $B87, T_Aop[], 4, 1)</f>
        <v>667</v>
      </c>
      <c r="J87" s="545"/>
      <c r="K87" s="546"/>
      <c r="O87" s="27"/>
    </row>
    <row r="88" spans="2:15" ht="12.75" customHeight="1" x14ac:dyDescent="0.2">
      <c r="B88" s="47"/>
      <c r="C88" s="558"/>
      <c r="D88" s="559"/>
      <c r="E88" s="559"/>
      <c r="F88" s="559"/>
      <c r="G88" s="559"/>
      <c r="H88" s="559"/>
      <c r="I88" s="560"/>
      <c r="J88" s="561"/>
      <c r="K88" s="561"/>
      <c r="O88" s="27"/>
    </row>
    <row r="89" spans="2:15" ht="21.75" customHeight="1" x14ac:dyDescent="0.2">
      <c r="B89" s="47">
        <v>419</v>
      </c>
      <c r="C89" s="779" t="str">
        <f>Prevod!G107</f>
        <v>1 Subvencije na proizvode obuhvataju subvencije koje se mogu iskazati po jedinici proizvoda, tj. iznos ovih subvencija zavisi od obima proizvodnje (npr. vozna karta, brašno, hljeb, mlijeko i sl.).</v>
      </c>
      <c r="D89" s="779"/>
      <c r="E89" s="779"/>
      <c r="F89" s="779"/>
      <c r="G89" s="779"/>
      <c r="H89" s="779"/>
      <c r="I89" s="779"/>
      <c r="J89" s="779"/>
      <c r="K89" s="779"/>
      <c r="O89" s="27"/>
    </row>
    <row r="90" spans="2:15" ht="21.75" customHeight="1" x14ac:dyDescent="0.2">
      <c r="B90" s="47">
        <v>420</v>
      </c>
      <c r="C90" s="779" t="str">
        <f>Prevod!G108</f>
        <v>2 Subvencije na proizvodnju obuhvataju subvencije koje se ne mogu iskazati po jedinici proizvoda ili usluge  (npr. zapošljavanje, platu, kamatnu stopu, za smanjenje zagađenja i sl.).</v>
      </c>
      <c r="D90" s="779"/>
      <c r="E90" s="779"/>
      <c r="F90" s="779"/>
      <c r="G90" s="779"/>
      <c r="H90" s="779"/>
      <c r="I90" s="779"/>
      <c r="J90" s="779"/>
      <c r="K90" s="779"/>
      <c r="O90" s="27"/>
    </row>
    <row r="91" spans="2:15" ht="23.25" customHeight="1" x14ac:dyDescent="0.2">
      <c r="B91" s="47">
        <v>421</v>
      </c>
      <c r="C91" s="779" t="str">
        <f>Prevod!G109</f>
        <v>3 Porezi na proizvode zavise od količine ili vrijednosti proizvedenih dobara i usluga (npr. carine, boravišne takse, porez na igre na sreću i sl.).</v>
      </c>
      <c r="D91" s="779"/>
      <c r="E91" s="779"/>
      <c r="F91" s="779"/>
      <c r="G91" s="779"/>
      <c r="H91" s="779"/>
      <c r="I91" s="779"/>
      <c r="J91" s="779"/>
      <c r="K91" s="779"/>
      <c r="O91" s="27"/>
    </row>
    <row r="92" spans="2:15" ht="21.75" customHeight="1" x14ac:dyDescent="0.2">
      <c r="B92" s="47">
        <v>422</v>
      </c>
      <c r="C92" s="779"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79"/>
      <c r="E92" s="779"/>
      <c r="F92" s="779"/>
      <c r="G92" s="779"/>
      <c r="H92" s="779"/>
      <c r="I92" s="779"/>
      <c r="J92" s="779"/>
      <c r="K92" s="779"/>
      <c r="O92" s="27"/>
    </row>
    <row r="93" spans="2:15" ht="23.25" customHeight="1" x14ac:dyDescent="0.2">
      <c r="C93" s="37"/>
      <c r="D93" s="40"/>
      <c r="E93" s="40"/>
      <c r="F93" s="40"/>
      <c r="G93" s="40"/>
      <c r="H93" s="40"/>
      <c r="I93" s="232"/>
      <c r="J93" s="37"/>
      <c r="K93" s="37"/>
    </row>
    <row r="94" spans="2:15" x14ac:dyDescent="0.2">
      <c r="C94" s="180" t="str">
        <f>Podnozje_U</f>
        <v>U:</v>
      </c>
      <c r="D94" s="418" t="str">
        <f>Podatak_U</f>
        <v>Obavezan unos podataka u formi!</v>
      </c>
      <c r="E94"/>
      <c r="F94" s="1" t="str">
        <f>Podnozje_Lice_sa_licencom</f>
        <v>Lice sa licencom:</v>
      </c>
      <c r="G94" s="1" t="str">
        <f>Podatak_Lice_sa_licencom</f>
        <v>Slobodan Butulija</v>
      </c>
      <c r="H94" s="37" t="str">
        <f>Podnozje_MP</f>
        <v>(M.P.)</v>
      </c>
      <c r="J94" s="760" t="str">
        <f>Podnozje_Direktor</f>
        <v>Lice ovlašćeno za zastupanje:</v>
      </c>
      <c r="K94" s="760"/>
      <c r="L94" s="760"/>
    </row>
    <row r="95" spans="2:15" x14ac:dyDescent="0.2">
      <c r="C95" s="28"/>
      <c r="D95" s="127"/>
      <c r="E95"/>
      <c r="F95" s="13" t="str">
        <f>Podnozje_Broj_licence</f>
        <v>Broj licence:</v>
      </c>
      <c r="G95" s="13" t="str">
        <f>Podatak_Broj_Licence</f>
        <v>0029/24</v>
      </c>
      <c r="H95" s="78"/>
      <c r="I95" s="78"/>
      <c r="J95" s="761" t="str">
        <f>Podatak_Direktor</f>
        <v>Aco Stanišić ma. ecc</v>
      </c>
      <c r="K95" s="761"/>
      <c r="L95" s="9"/>
    </row>
    <row r="96" spans="2:15" x14ac:dyDescent="0.2">
      <c r="C96" s="180" t="str">
        <f>Podnozje_Dana</f>
        <v>Dana:</v>
      </c>
      <c r="D96" s="417" t="str">
        <f>Podatak_Dana</f>
        <v>31.10.2024.</v>
      </c>
      <c r="E96"/>
      <c r="F96" s="718"/>
      <c r="G96" s="718"/>
      <c r="J96" s="718"/>
      <c r="K96" s="718"/>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2"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30.09.2024. godine</v>
      </c>
      <c r="D57" s="53" t="str">
        <f>CONCATENATE("нa дaн ",Datum_Format," гoдинe")</f>
        <v>нa дaн 30.09.2024. гoдинe</v>
      </c>
      <c r="E57" s="53" t="str">
        <f>CONCATENATE("date ",Datum_Format)</f>
        <v>date 30.09.2024.</v>
      </c>
      <c r="F57" s="53" t="str">
        <f>CONCATENATE("на дату ",Datum_Format," года")</f>
        <v>на дату 30.09.2024. года</v>
      </c>
      <c r="G57" s="3" t="str">
        <f t="shared" si="5"/>
        <v>na dan 30.09.2024. godine</v>
      </c>
      <c r="H57" s="3" t="str">
        <f t="shared" si="6"/>
        <v>Datumi_Datum_BS</v>
      </c>
      <c r="I57" s="3">
        <f t="shared" si="4"/>
        <v>1</v>
      </c>
    </row>
    <row r="58" spans="1:9" x14ac:dyDescent="0.2">
      <c r="A58" t="s">
        <v>260</v>
      </c>
      <c r="B58" t="s">
        <v>148</v>
      </c>
      <c r="C58" s="53" t="str">
        <f>CONCATENATE("za period od 01.01. do ",Datum_Format," godine")</f>
        <v>za period od 01.01. do 30.09.2024. godine</v>
      </c>
      <c r="D58" s="53" t="str">
        <f>CONCATENATE("зa пeриoд oд 01.01. дo ",Datum_Format," гoдинe")</f>
        <v>зa пeриoд oд 01.01. дo 30.09.2024. гoдинe</v>
      </c>
      <c r="E58" s="53" t="str">
        <f>CONCATENATE("from 01.01. to ",Datum_Format)</f>
        <v>from 01.01. to 30.09.2024.</v>
      </c>
      <c r="F58" s="53" t="str">
        <f>CONCATENATE("за период с 01.01. to ",Datum_Format," года")</f>
        <v>за период с 01.01. to 30.09.2024. года</v>
      </c>
      <c r="G58" s="3" t="str">
        <f t="shared" si="5"/>
        <v>za period od 01.01. do 30.09.2024. godine</v>
      </c>
      <c r="H58" s="3" t="str">
        <f t="shared" si="6"/>
        <v>Datumi_Datum_BU</v>
      </c>
      <c r="I58" s="3">
        <f t="shared" si="4"/>
        <v>1</v>
      </c>
    </row>
    <row r="59" spans="1:9" x14ac:dyDescent="0.2">
      <c r="A59" t="s">
        <v>260</v>
      </c>
      <c r="B59" t="s">
        <v>149</v>
      </c>
      <c r="C59" s="53" t="str">
        <f>CONCATENATE("za period od 01.01. do ",Datum_Format," godine")</f>
        <v>za period od 01.01. do 30.09.2024. godine</v>
      </c>
      <c r="D59" s="53" t="str">
        <f>CONCATENATE("зa пeриoд oд 01.01. дo ",Datum_Format," гoдинe")</f>
        <v>зa пeриoд oд 01.01. дo 30.09.2024. гoдинe</v>
      </c>
      <c r="E59" s="53" t="str">
        <f>CONCATENATE("from 01.01. to ",Datum_Format)</f>
        <v>from 01.01. to 30.09.2024.</v>
      </c>
      <c r="F59" s="53" t="str">
        <f>CONCATENATE("за период с 01.01. to ",Datum_Format," года")</f>
        <v>за период с 01.01. to 30.09.2024. года</v>
      </c>
      <c r="G59" s="3" t="str">
        <f t="shared" si="5"/>
        <v>za period od 01.01. do 30.09.2024. godine</v>
      </c>
      <c r="H59" s="3" t="str">
        <f t="shared" si="6"/>
        <v>Datumi_Datum_BTG</v>
      </c>
      <c r="I59" s="3">
        <f t="shared" si="4"/>
        <v>1</v>
      </c>
    </row>
    <row r="60" spans="1:9" x14ac:dyDescent="0.2">
      <c r="A60" t="s">
        <v>260</v>
      </c>
      <c r="B60" t="s">
        <v>159</v>
      </c>
      <c r="C60" s="53" t="str">
        <f>CONCATENATE("od 01.01. do ",Datum_Format," godine")</f>
        <v>od 01.01. do 30.09.2024. godine</v>
      </c>
      <c r="D60" s="53" t="str">
        <f>CONCATENATE("oд 01.01. дo ",Datum_Format," гoдинe")</f>
        <v>oд 01.01. дo 30.09.2024. гoдинe</v>
      </c>
      <c r="E60" s="53" t="str">
        <f>CONCATENATE("from 01.01. to ",Datum_Format)</f>
        <v>from 01.01. to 30.09.2024.</v>
      </c>
      <c r="F60" s="53" t="str">
        <f>CONCATENATE("с 01.01. to ",Datum_Format," года")</f>
        <v>с 01.01. to 30.09.2024. года</v>
      </c>
      <c r="G60" s="3" t="str">
        <f t="shared" si="5"/>
        <v>od 01.01. do 30.09.2024. godine</v>
      </c>
      <c r="H60" s="3" t="str">
        <f t="shared" si="6"/>
        <v>Datumi_Datum_ODGP</v>
      </c>
      <c r="I60" s="3">
        <f t="shared" si="4"/>
        <v>1</v>
      </c>
    </row>
    <row r="61" spans="1:9" x14ac:dyDescent="0.2">
      <c r="A61" t="s">
        <v>260</v>
      </c>
      <c r="B61" t="s">
        <v>160</v>
      </c>
      <c r="C61" s="53" t="str">
        <f>CONCATENATE("za period od 01.01. do ",Datum_Format," godine")</f>
        <v>za period od 01.01. do 30.09.2024. godine</v>
      </c>
      <c r="D61" s="53" t="str">
        <f>CONCATENATE("зa пeриoд oд 01.01. дo ",Datum_Format," гoдинe")</f>
        <v>зa пeриoд oд 01.01. дo 30.09.2024. гoдинe</v>
      </c>
      <c r="E61" s="53" t="str">
        <f>CONCATENATE("from 01.01. to ",Datum_Format)</f>
        <v>from 01.01. to 30.09.2024.</v>
      </c>
      <c r="F61" s="53" t="str">
        <f>CONCATENATE("за период с 01.01. to ",Datum_Format," года")</f>
        <v>за период с 01.01. to 30.09.2024. года</v>
      </c>
      <c r="G61" s="3" t="str">
        <f t="shared" si="5"/>
        <v>za period od 01.01. do 30.09.2024.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30.09.2024. godine</v>
      </c>
      <c r="D62" s="53" t="str">
        <f>CONCATENATE("зa пeриoд кojи сe зaвршaвa нa дaн ",Datum_Format," гoдинe")</f>
        <v>зa пeриoд кojи сe зaвршaвa нa дaн 30.09.2024. гoдинe</v>
      </c>
      <c r="E62" s="53" t="str">
        <f>CONCATENATE("for period ending ",Datum_Format)</f>
        <v>for period ending 30.09.2024.</v>
      </c>
      <c r="F62" s="53" t="str">
        <f>CONCATENATE("за период, закончившийся на дату ",Datum_Format," года")</f>
        <v>за период, закончившийся на дату 30.09.2024. года</v>
      </c>
      <c r="G62" s="3" t="str">
        <f t="shared" si="5"/>
        <v>za period koji se završava na dan 30.09.2024.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1"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1"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8" t="s">
        <v>1593</v>
      </c>
      <c r="D87" s="250"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6" t="s">
        <v>1594</v>
      </c>
      <c r="D88" s="251" t="s">
        <v>2229</v>
      </c>
      <c r="E88" s="246"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6" t="s">
        <v>1595</v>
      </c>
      <c r="D89" s="251" t="s">
        <v>2230</v>
      </c>
      <c r="E89" s="246" t="s">
        <v>2861</v>
      </c>
      <c r="F89" t="s">
        <v>2180</v>
      </c>
      <c r="G89" s="3" t="str">
        <f t="shared" si="10"/>
        <v>Rezerve</v>
      </c>
      <c r="H89" s="3" t="str">
        <f t="shared" si="9"/>
        <v>Tabele_zaglavlje_BPK5</v>
      </c>
      <c r="I89" s="3">
        <f t="shared" si="7"/>
        <v>1</v>
      </c>
    </row>
    <row r="90" spans="1:9" ht="35.25" customHeight="1" x14ac:dyDescent="0.2">
      <c r="A90" t="s">
        <v>262</v>
      </c>
      <c r="B90" t="s">
        <v>282</v>
      </c>
      <c r="C90" s="247" t="s">
        <v>1596</v>
      </c>
      <c r="D90" s="252" t="s">
        <v>2231</v>
      </c>
      <c r="E90" s="246"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7" t="s">
        <v>2918</v>
      </c>
      <c r="D91" s="252" t="s">
        <v>2919</v>
      </c>
      <c r="E91" s="246"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7" t="s">
        <v>1597</v>
      </c>
      <c r="D92" s="252" t="s">
        <v>2232</v>
      </c>
      <c r="E92" s="246"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7" t="s">
        <v>1629</v>
      </c>
      <c r="D93" s="252" t="s">
        <v>2233</v>
      </c>
      <c r="E93" s="246"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8" t="s">
        <v>2246</v>
      </c>
      <c r="D94" s="250"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1"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0"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6" t="s">
        <v>3058</v>
      </c>
      <c r="D107" s="246"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6" t="s">
        <v>3057</v>
      </c>
      <c r="D108" s="246"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6" t="s">
        <v>3059</v>
      </c>
      <c r="D109" s="246"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6" t="s">
        <v>3060</v>
      </c>
      <c r="D110" s="246"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sheet="1" objects="1" scenarios="1"/>
  <phoneticPr fontId="26"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P453"/>
  <sheetViews>
    <sheetView showGridLines="0" showRowColHeaders="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7" customWidth="1"/>
    <col min="8" max="8" width="94.42578125" style="287" customWidth="1"/>
    <col min="9" max="9" width="73" style="287" customWidth="1"/>
    <col min="10" max="10" width="67.85546875" style="287"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1" t="s">
        <v>123</v>
      </c>
      <c r="B1" s="351" t="s">
        <v>249</v>
      </c>
      <c r="C1" s="351" t="s">
        <v>248</v>
      </c>
      <c r="D1" s="351" t="s">
        <v>74</v>
      </c>
      <c r="E1" s="352" t="s">
        <v>312</v>
      </c>
      <c r="F1" s="352" t="s">
        <v>254</v>
      </c>
      <c r="G1" s="353" t="s">
        <v>251</v>
      </c>
      <c r="H1" s="353" t="s">
        <v>252</v>
      </c>
      <c r="I1" s="353" t="s">
        <v>253</v>
      </c>
      <c r="J1" s="353" t="s">
        <v>2456</v>
      </c>
      <c r="K1" s="353" t="s">
        <v>699</v>
      </c>
      <c r="L1" s="353" t="s">
        <v>700</v>
      </c>
      <c r="M1" s="353" t="s">
        <v>701</v>
      </c>
      <c r="N1" s="351" t="s">
        <v>2197</v>
      </c>
      <c r="O1" s="351" t="s">
        <v>689</v>
      </c>
      <c r="P1" s="351" t="s">
        <v>690</v>
      </c>
    </row>
    <row r="2" spans="1:16" ht="36.75" customHeight="1" x14ac:dyDescent="0.2">
      <c r="A2">
        <f t="shared" ref="A2:A65" si="0">ROW()-ROW($A$1)</f>
        <v>1</v>
      </c>
      <c r="B2" t="s">
        <v>771</v>
      </c>
      <c r="C2">
        <v>1</v>
      </c>
      <c r="D2" s="226">
        <v>1</v>
      </c>
      <c r="E2" s="2">
        <f>VLOOKUP( T_Aop[[#This Row],[Id]], T_Aop[], ID_Jezik +10, 1)</f>
        <v>0</v>
      </c>
      <c r="F2" t="str">
        <f>REPT( "  ", T_Aop[[#This Row],[Aop nivo]]) &amp; VLOOKUP( T_Aop[[#This Row],[Id]], T_Aop[], ID_Jezik + 6, 1)</f>
        <v xml:space="preserve">  BILANSNA AKTIVA
A. STALNA SREDSTVA (002+008+015+016+017+022+034)</v>
      </c>
      <c r="G2" s="279" t="s">
        <v>2752</v>
      </c>
      <c r="H2" s="279" t="s">
        <v>2753</v>
      </c>
      <c r="I2" s="279" t="s">
        <v>2754</v>
      </c>
      <c r="J2" s="279" t="s">
        <v>2755</v>
      </c>
      <c r="K2" s="350">
        <v>0</v>
      </c>
      <c r="L2" s="350">
        <v>0</v>
      </c>
      <c r="O2" s="10">
        <v>1</v>
      </c>
      <c r="P2" s="10"/>
    </row>
    <row r="3" spans="1:16" x14ac:dyDescent="0.2">
      <c r="A3">
        <f t="shared" si="0"/>
        <v>2</v>
      </c>
      <c r="B3" t="s">
        <v>771</v>
      </c>
      <c r="C3">
        <v>1</v>
      </c>
      <c r="D3" s="226">
        <v>2</v>
      </c>
      <c r="E3" s="2" t="str">
        <f>VLOOKUP( T_Aop[[#This Row],[Id]], T_Aop[], ID_Jezik +10, 1)</f>
        <v>01</v>
      </c>
      <c r="F3" t="str">
        <f>REPT( "  ", T_Aop[[#This Row],[Aop nivo]]) &amp; VLOOKUP( T_Aop[[#This Row],[Id]], T_Aop[], ID_Jezik + 6, 1)</f>
        <v xml:space="preserve">  I  NEMATERIJALNA SREDSTVA  (003 do 007)</v>
      </c>
      <c r="G3" s="280" t="s">
        <v>1046</v>
      </c>
      <c r="H3" s="280" t="s">
        <v>1004</v>
      </c>
      <c r="I3" s="287" t="s">
        <v>2783</v>
      </c>
      <c r="J3" s="298" t="s">
        <v>1967</v>
      </c>
      <c r="K3" s="367" t="s">
        <v>344</v>
      </c>
      <c r="L3" s="266" t="s">
        <v>344</v>
      </c>
      <c r="M3" s="288" t="s">
        <v>344</v>
      </c>
      <c r="N3" s="265" t="s">
        <v>344</v>
      </c>
      <c r="O3" s="10">
        <v>1</v>
      </c>
      <c r="P3" s="10"/>
    </row>
    <row r="4" spans="1:16" x14ac:dyDescent="0.2">
      <c r="A4">
        <f t="shared" si="0"/>
        <v>3</v>
      </c>
      <c r="B4" t="s">
        <v>771</v>
      </c>
      <c r="C4">
        <v>2</v>
      </c>
      <c r="D4" s="226">
        <v>3</v>
      </c>
      <c r="E4" s="2" t="str">
        <f>VLOOKUP( T_Aop[[#This Row],[Id]], T_Aop[], ID_Jezik +10, 1)</f>
        <v>010, dio 019</v>
      </c>
      <c r="F4" t="str">
        <f>REPT( "  ", T_Aop[[#This Row],[Aop nivo]]) &amp; VLOOKUP( T_Aop[[#This Row],[Id]], T_Aop[], ID_Jezik + 6, 1)</f>
        <v xml:space="preserve">    1. Ulaganja u razvoj</v>
      </c>
      <c r="G4" s="287" t="s">
        <v>1047</v>
      </c>
      <c r="H4" s="279" t="s">
        <v>1021</v>
      </c>
      <c r="I4" s="287" t="s">
        <v>2675</v>
      </c>
      <c r="J4" s="369" t="s">
        <v>1968</v>
      </c>
      <c r="K4" s="368" t="s">
        <v>595</v>
      </c>
      <c r="L4" s="268" t="s">
        <v>596</v>
      </c>
      <c r="M4" s="288" t="s">
        <v>597</v>
      </c>
      <c r="N4" s="255" t="s">
        <v>2250</v>
      </c>
      <c r="O4" s="10"/>
      <c r="P4" s="10"/>
    </row>
    <row r="5" spans="1:16" x14ac:dyDescent="0.2">
      <c r="A5">
        <f t="shared" si="0"/>
        <v>4</v>
      </c>
      <c r="B5" t="s">
        <v>771</v>
      </c>
      <c r="C5">
        <v>2</v>
      </c>
      <c r="D5" s="226">
        <v>4</v>
      </c>
      <c r="E5" s="2" t="str">
        <f>VLOOKUP( T_Aop[[#This Row],[Id]], T_Aop[], ID_Jezik +10, 1)</f>
        <v>011, 013 dio 019</v>
      </c>
      <c r="F5" t="str">
        <f>REPT( "  ", T_Aop[[#This Row],[Aop nivo]]) &amp; VLOOKUP( T_Aop[[#This Row],[Id]], T_Aop[], ID_Jezik + 6, 1)</f>
        <v xml:space="preserve">    2. Koncesije, patenti, licence, softver i ostala prava</v>
      </c>
      <c r="G5" s="287" t="s">
        <v>1048</v>
      </c>
      <c r="H5" s="280" t="s">
        <v>781</v>
      </c>
      <c r="I5" s="287" t="s">
        <v>3073</v>
      </c>
      <c r="J5" s="369" t="s">
        <v>1969</v>
      </c>
      <c r="K5" s="368" t="s">
        <v>816</v>
      </c>
      <c r="L5" s="267" t="s">
        <v>787</v>
      </c>
      <c r="M5" s="288" t="s">
        <v>974</v>
      </c>
      <c r="N5" s="255" t="s">
        <v>2251</v>
      </c>
      <c r="O5" s="10"/>
      <c r="P5" s="10"/>
    </row>
    <row r="6" spans="1:16" x14ac:dyDescent="0.2">
      <c r="A6">
        <f t="shared" si="0"/>
        <v>5</v>
      </c>
      <c r="B6" t="s">
        <v>771</v>
      </c>
      <c r="C6">
        <v>2</v>
      </c>
      <c r="D6" s="226">
        <v>5</v>
      </c>
      <c r="E6" s="2" t="str">
        <f>VLOOKUP( T_Aop[[#This Row],[Id]], T_Aop[], ID_Jezik +10, 1)</f>
        <v>012, dio 019</v>
      </c>
      <c r="F6" t="str">
        <f>REPT( "  ", T_Aop[[#This Row],[Aop nivo]]) &amp; VLOOKUP( T_Aop[[#This Row],[Id]], T_Aop[], ID_Jezik + 6, 1)</f>
        <v xml:space="preserve">    3. Goodwill</v>
      </c>
      <c r="G6" s="287" t="s">
        <v>1049</v>
      </c>
      <c r="H6" s="279" t="s">
        <v>1022</v>
      </c>
      <c r="I6" s="287" t="s">
        <v>1049</v>
      </c>
      <c r="J6" s="369" t="s">
        <v>1049</v>
      </c>
      <c r="K6" s="368" t="s">
        <v>598</v>
      </c>
      <c r="L6" s="267" t="s">
        <v>599</v>
      </c>
      <c r="M6" s="288" t="s">
        <v>600</v>
      </c>
      <c r="N6" s="255" t="s">
        <v>2252</v>
      </c>
      <c r="O6" s="10"/>
      <c r="P6" s="10"/>
    </row>
    <row r="7" spans="1:16" x14ac:dyDescent="0.2">
      <c r="A7">
        <f t="shared" si="0"/>
        <v>6</v>
      </c>
      <c r="B7" t="s">
        <v>771</v>
      </c>
      <c r="C7">
        <v>2</v>
      </c>
      <c r="D7" s="226">
        <v>6</v>
      </c>
      <c r="E7" s="2" t="str">
        <f>VLOOKUP( T_Aop[[#This Row],[Id]], T_Aop[], ID_Jezik +10, 1)</f>
        <v>014, dio 019</v>
      </c>
      <c r="F7" t="str">
        <f>REPT( "  ", T_Aop[[#This Row],[Aop nivo]]) &amp; VLOOKUP( T_Aop[[#This Row],[Id]], T_Aop[], ID_Jezik + 6, 1)</f>
        <v xml:space="preserve">    4. Ostala nematerijalna sredstva</v>
      </c>
      <c r="G7" s="287" t="s">
        <v>1050</v>
      </c>
      <c r="H7" s="280" t="s">
        <v>1024</v>
      </c>
      <c r="I7" s="287" t="s">
        <v>2676</v>
      </c>
      <c r="J7" s="369" t="s">
        <v>1970</v>
      </c>
      <c r="K7" s="368" t="s">
        <v>601</v>
      </c>
      <c r="L7" s="267" t="s">
        <v>602</v>
      </c>
      <c r="M7" s="288" t="s">
        <v>603</v>
      </c>
      <c r="N7" s="255" t="s">
        <v>2253</v>
      </c>
      <c r="O7" s="10"/>
      <c r="P7" s="10"/>
    </row>
    <row r="8" spans="1:16" x14ac:dyDescent="0.2">
      <c r="A8">
        <f t="shared" si="0"/>
        <v>7</v>
      </c>
      <c r="B8" t="s">
        <v>771</v>
      </c>
      <c r="C8">
        <v>2</v>
      </c>
      <c r="D8" s="226">
        <v>7</v>
      </c>
      <c r="E8" s="2" t="str">
        <f>VLOOKUP( T_Aop[[#This Row],[Id]], T_Aop[], ID_Jezik +10, 1)</f>
        <v>015, 016, dio 019</v>
      </c>
      <c r="F8" t="str">
        <f>REPT( "  ", T_Aop[[#This Row],[Aop nivo]]) &amp; VLOOKUP( T_Aop[[#This Row],[Id]], T_Aop[], ID_Jezik + 6, 1)</f>
        <v xml:space="preserve">    5. Avansi i nematerijalna sredstva u pripremi </v>
      </c>
      <c r="G8" s="287" t="s">
        <v>1051</v>
      </c>
      <c r="H8" s="279" t="s">
        <v>1023</v>
      </c>
      <c r="I8" s="287" t="s">
        <v>2677</v>
      </c>
      <c r="J8" s="369" t="s">
        <v>1971</v>
      </c>
      <c r="K8" s="368" t="s">
        <v>604</v>
      </c>
      <c r="L8" s="267" t="s">
        <v>2725</v>
      </c>
      <c r="M8" s="288" t="s">
        <v>605</v>
      </c>
      <c r="N8" s="255" t="s">
        <v>2254</v>
      </c>
      <c r="O8" s="10"/>
      <c r="P8" s="10"/>
    </row>
    <row r="9" spans="1:16" x14ac:dyDescent="0.2">
      <c r="A9">
        <f t="shared" si="0"/>
        <v>8</v>
      </c>
      <c r="B9" t="s">
        <v>771</v>
      </c>
      <c r="C9">
        <v>1</v>
      </c>
      <c r="D9" s="226">
        <v>8</v>
      </c>
      <c r="E9" s="2" t="str">
        <f>VLOOKUP( T_Aop[[#This Row],[Id]], T_Aop[], ID_Jezik +10, 1)</f>
        <v>02</v>
      </c>
      <c r="F9" t="str">
        <f>REPT( "  ", T_Aop[[#This Row],[Aop nivo]]) &amp; VLOOKUP( T_Aop[[#This Row],[Id]], T_Aop[], ID_Jezik + 6, 1)</f>
        <v xml:space="preserve">  II  NEKRETNINE, POSTROJENJA I OPREMA (009 do 014) </v>
      </c>
      <c r="G9" s="280" t="s">
        <v>2760</v>
      </c>
      <c r="H9" s="280" t="s">
        <v>1005</v>
      </c>
      <c r="I9" s="287" t="s">
        <v>2782</v>
      </c>
      <c r="J9" s="369" t="s">
        <v>1972</v>
      </c>
      <c r="K9" s="367" t="s">
        <v>345</v>
      </c>
      <c r="L9" s="266" t="s">
        <v>345</v>
      </c>
      <c r="M9" s="288" t="s">
        <v>345</v>
      </c>
      <c r="N9" s="265" t="s">
        <v>345</v>
      </c>
      <c r="O9" s="10">
        <v>1</v>
      </c>
      <c r="P9" s="10"/>
    </row>
    <row r="10" spans="1:16" x14ac:dyDescent="0.2">
      <c r="A10">
        <f t="shared" si="0"/>
        <v>9</v>
      </c>
      <c r="B10" t="s">
        <v>771</v>
      </c>
      <c r="C10">
        <v>2</v>
      </c>
      <c r="D10" s="226">
        <v>9</v>
      </c>
      <c r="E10" s="2" t="str">
        <f>VLOOKUP( T_Aop[[#This Row],[Id]], T_Aop[], ID_Jezik +10, 1)</f>
        <v>020, dio 029</v>
      </c>
      <c r="F10" t="str">
        <f>REPT( "  ", T_Aop[[#This Row],[Aop nivo]]) &amp; VLOOKUP( T_Aop[[#This Row],[Id]], T_Aop[], ID_Jezik + 6, 1)</f>
        <v xml:space="preserve">    1. Zemljište</v>
      </c>
      <c r="G10" s="287" t="s">
        <v>1052</v>
      </c>
      <c r="H10" s="279" t="s">
        <v>1025</v>
      </c>
      <c r="I10" s="287" t="s">
        <v>2681</v>
      </c>
      <c r="J10" s="369" t="s">
        <v>1973</v>
      </c>
      <c r="K10" s="368" t="s">
        <v>606</v>
      </c>
      <c r="L10" s="267" t="s">
        <v>607</v>
      </c>
      <c r="M10" s="288" t="s">
        <v>608</v>
      </c>
      <c r="N10" s="255" t="s">
        <v>2255</v>
      </c>
      <c r="O10" s="10"/>
      <c r="P10" s="10"/>
    </row>
    <row r="11" spans="1:16" x14ac:dyDescent="0.2">
      <c r="A11">
        <f t="shared" si="0"/>
        <v>10</v>
      </c>
      <c r="B11" t="s">
        <v>771</v>
      </c>
      <c r="C11">
        <v>2</v>
      </c>
      <c r="D11" s="226">
        <v>10</v>
      </c>
      <c r="E11" s="2" t="str">
        <f>VLOOKUP( T_Aop[[#This Row],[Id]], T_Aop[], ID_Jezik +10, 1)</f>
        <v>021, dio 029</v>
      </c>
      <c r="F11" t="str">
        <f>REPT( "  ", T_Aop[[#This Row],[Aop nivo]]) &amp; VLOOKUP( T_Aop[[#This Row],[Id]], T_Aop[], ID_Jezik + 6, 1)</f>
        <v xml:space="preserve">    2. Građevinski objekti</v>
      </c>
      <c r="G11" s="287" t="s">
        <v>1053</v>
      </c>
      <c r="H11" s="280" t="s">
        <v>1026</v>
      </c>
      <c r="I11" s="287" t="s">
        <v>2682</v>
      </c>
      <c r="J11" s="369" t="s">
        <v>1974</v>
      </c>
      <c r="K11" s="368" t="s">
        <v>609</v>
      </c>
      <c r="L11" s="267" t="s">
        <v>610</v>
      </c>
      <c r="M11" s="288" t="s">
        <v>611</v>
      </c>
      <c r="N11" s="255" t="s">
        <v>2256</v>
      </c>
      <c r="O11" s="10"/>
      <c r="P11" s="10"/>
    </row>
    <row r="12" spans="1:16" x14ac:dyDescent="0.2">
      <c r="A12">
        <f t="shared" si="0"/>
        <v>11</v>
      </c>
      <c r="B12" t="s">
        <v>771</v>
      </c>
      <c r="C12">
        <v>2</v>
      </c>
      <c r="D12" s="226">
        <v>11</v>
      </c>
      <c r="E12" s="2" t="str">
        <f>VLOOKUP( T_Aop[[#This Row],[Id]], T_Aop[], ID_Jezik +10, 1)</f>
        <v>022, dio 029</v>
      </c>
      <c r="F12" t="str">
        <f>REPT( "  ", T_Aop[[#This Row],[Aop nivo]]) &amp; VLOOKUP( T_Aop[[#This Row],[Id]], T_Aop[], ID_Jezik + 6, 1)</f>
        <v xml:space="preserve">    3. Postrojenja i oprema</v>
      </c>
      <c r="G12" s="287" t="s">
        <v>1054</v>
      </c>
      <c r="H12" s="279" t="s">
        <v>1027</v>
      </c>
      <c r="I12" s="287" t="s">
        <v>2683</v>
      </c>
      <c r="J12" s="369" t="s">
        <v>1975</v>
      </c>
      <c r="K12" s="368" t="s">
        <v>612</v>
      </c>
      <c r="L12" s="267" t="s">
        <v>613</v>
      </c>
      <c r="M12" s="288" t="s">
        <v>614</v>
      </c>
      <c r="N12" s="255" t="s">
        <v>2257</v>
      </c>
      <c r="O12" s="10"/>
      <c r="P12" s="10"/>
    </row>
    <row r="13" spans="1:16" x14ac:dyDescent="0.2">
      <c r="A13">
        <f t="shared" si="0"/>
        <v>12</v>
      </c>
      <c r="B13" t="s">
        <v>771</v>
      </c>
      <c r="C13">
        <v>2</v>
      </c>
      <c r="D13" s="226">
        <v>12</v>
      </c>
      <c r="E13" s="2" t="str">
        <f>VLOOKUP( T_Aop[[#This Row],[Id]], T_Aop[], ID_Jezik +10, 1)</f>
        <v>023, dio 029</v>
      </c>
      <c r="F13" t="str">
        <f>REPT( "  ", T_Aop[[#This Row],[Aop nivo]]) &amp; VLOOKUP( T_Aop[[#This Row],[Id]], T_Aop[], ID_Jezik + 6, 1)</f>
        <v xml:space="preserve">    4. Ostale nekretnine, postrojenja i oprema</v>
      </c>
      <c r="G13" s="287" t="s">
        <v>1055</v>
      </c>
      <c r="H13" s="280" t="s">
        <v>1028</v>
      </c>
      <c r="I13" s="287" t="s">
        <v>2684</v>
      </c>
      <c r="J13" s="369" t="s">
        <v>1976</v>
      </c>
      <c r="K13" s="368" t="s">
        <v>615</v>
      </c>
      <c r="L13" s="267" t="s">
        <v>616</v>
      </c>
      <c r="M13" s="288" t="s">
        <v>617</v>
      </c>
      <c r="N13" s="255" t="s">
        <v>2258</v>
      </c>
      <c r="O13" s="10"/>
      <c r="P13" s="10"/>
    </row>
    <row r="14" spans="1:16" x14ac:dyDescent="0.2">
      <c r="A14">
        <f t="shared" si="0"/>
        <v>13</v>
      </c>
      <c r="B14" t="s">
        <v>771</v>
      </c>
      <c r="C14">
        <v>2</v>
      </c>
      <c r="D14" s="226">
        <v>13</v>
      </c>
      <c r="E14" s="2" t="str">
        <f>VLOOKUP( T_Aop[[#This Row],[Id]], T_Aop[], ID_Jezik +10, 1)</f>
        <v>024, dio 029</v>
      </c>
      <c r="F14" t="str">
        <f>REPT( "  ", T_Aop[[#This Row],[Aop nivo]]) &amp; VLOOKUP( T_Aop[[#This Row],[Id]], T_Aop[], ID_Jezik + 6, 1)</f>
        <v xml:space="preserve">    5. Ulaganje na tuđim nekretninama, postrojenjima i opremi</v>
      </c>
      <c r="G14" s="287" t="s">
        <v>1056</v>
      </c>
      <c r="H14" s="279" t="s">
        <v>1029</v>
      </c>
      <c r="I14" s="287" t="s">
        <v>2685</v>
      </c>
      <c r="J14" s="369" t="s">
        <v>1977</v>
      </c>
      <c r="K14" s="368" t="s">
        <v>618</v>
      </c>
      <c r="L14" s="267" t="s">
        <v>619</v>
      </c>
      <c r="M14" s="288" t="s">
        <v>620</v>
      </c>
      <c r="N14" s="255" t="s">
        <v>2259</v>
      </c>
      <c r="O14" s="10"/>
      <c r="P14" s="10"/>
    </row>
    <row r="15" spans="1:16" x14ac:dyDescent="0.2">
      <c r="A15">
        <f t="shared" si="0"/>
        <v>14</v>
      </c>
      <c r="B15" t="s">
        <v>771</v>
      </c>
      <c r="C15">
        <v>2</v>
      </c>
      <c r="D15" s="226">
        <v>14</v>
      </c>
      <c r="E15" s="2" t="str">
        <f>VLOOKUP( T_Aop[[#This Row],[Id]], T_Aop[], ID_Jezik +10, 1)</f>
        <v>025, 026, dio 029</v>
      </c>
      <c r="F15" t="str">
        <f>REPT( "  ", T_Aop[[#This Row],[Aop nivo]]) &amp; VLOOKUP( T_Aop[[#This Row],[Id]], T_Aop[], ID_Jezik + 6, 1)</f>
        <v xml:space="preserve">    6. Avansi i nekretnine, postrojenja i oprema u pripremi</v>
      </c>
      <c r="G15" s="287" t="s">
        <v>2912</v>
      </c>
      <c r="H15" s="280" t="s">
        <v>1030</v>
      </c>
      <c r="I15" s="287" t="s">
        <v>2686</v>
      </c>
      <c r="J15" s="369" t="s">
        <v>1978</v>
      </c>
      <c r="K15" s="368" t="s">
        <v>817</v>
      </c>
      <c r="L15" s="267" t="s">
        <v>788</v>
      </c>
      <c r="M15" s="288" t="s">
        <v>975</v>
      </c>
      <c r="N15" s="255" t="s">
        <v>2260</v>
      </c>
      <c r="O15" s="10"/>
      <c r="P15" s="10"/>
    </row>
    <row r="16" spans="1:16" x14ac:dyDescent="0.2">
      <c r="A16">
        <f t="shared" si="0"/>
        <v>15</v>
      </c>
      <c r="B16" t="s">
        <v>771</v>
      </c>
      <c r="C16">
        <v>1</v>
      </c>
      <c r="D16" s="226">
        <v>15</v>
      </c>
      <c r="E16" s="2" t="str">
        <f>VLOOKUP( T_Aop[[#This Row],[Id]], T_Aop[], ID_Jezik +10, 1)</f>
        <v>03</v>
      </c>
      <c r="F16" t="str">
        <f>REPT( "  ", T_Aop[[#This Row],[Aop nivo]]) &amp; VLOOKUP( T_Aop[[#This Row],[Id]], T_Aop[], ID_Jezik + 6, 1)</f>
        <v xml:space="preserve">  III INVESTICIONE NEKRETNINE</v>
      </c>
      <c r="G16" s="280" t="s">
        <v>1057</v>
      </c>
      <c r="H16" s="279" t="s">
        <v>1007</v>
      </c>
      <c r="I16" s="287" t="s">
        <v>1714</v>
      </c>
      <c r="J16" s="369" t="s">
        <v>1979</v>
      </c>
      <c r="K16" s="529" t="s">
        <v>346</v>
      </c>
      <c r="L16" s="268" t="s">
        <v>346</v>
      </c>
      <c r="M16" s="288" t="s">
        <v>346</v>
      </c>
      <c r="N16" s="265" t="s">
        <v>346</v>
      </c>
      <c r="O16" s="10"/>
      <c r="P16" s="10"/>
    </row>
    <row r="17" spans="1:16" x14ac:dyDescent="0.2">
      <c r="A17">
        <f t="shared" si="0"/>
        <v>16</v>
      </c>
      <c r="B17" t="s">
        <v>771</v>
      </c>
      <c r="C17">
        <v>1</v>
      </c>
      <c r="D17" s="226">
        <v>16</v>
      </c>
      <c r="E17" s="2" t="str">
        <f>VLOOKUP( T_Aop[[#This Row],[Id]], T_Aop[], ID_Jezik +10, 1)</f>
        <v>04</v>
      </c>
      <c r="F17" t="str">
        <f>REPT( "  ", T_Aop[[#This Row],[Aop nivo]]) &amp; VLOOKUP( T_Aop[[#This Row],[Id]], T_Aop[], ID_Jezik + 6, 1)</f>
        <v xml:space="preserve">  IV SREDSTVA UZETA U ZAKUP </v>
      </c>
      <c r="G17" s="280" t="s">
        <v>1058</v>
      </c>
      <c r="H17" s="280" t="s">
        <v>1008</v>
      </c>
      <c r="I17" s="287" t="s">
        <v>997</v>
      </c>
      <c r="J17" s="369" t="s">
        <v>1980</v>
      </c>
      <c r="K17" s="368" t="s">
        <v>347</v>
      </c>
      <c r="L17" s="268" t="s">
        <v>347</v>
      </c>
      <c r="M17" s="288" t="s">
        <v>347</v>
      </c>
      <c r="N17" s="265" t="s">
        <v>347</v>
      </c>
      <c r="O17" s="10"/>
      <c r="P17" s="10"/>
    </row>
    <row r="18" spans="1:16" x14ac:dyDescent="0.2">
      <c r="A18">
        <f t="shared" si="0"/>
        <v>17</v>
      </c>
      <c r="B18" t="s">
        <v>771</v>
      </c>
      <c r="C18">
        <v>1</v>
      </c>
      <c r="D18" s="226">
        <v>17</v>
      </c>
      <c r="E18" s="2" t="str">
        <f>VLOOKUP( T_Aop[[#This Row],[Id]], T_Aop[], ID_Jezik +10, 1)</f>
        <v>05</v>
      </c>
      <c r="F18" t="str">
        <f>REPT( "  ", T_Aop[[#This Row],[Aop nivo]]) &amp; VLOOKUP( T_Aop[[#This Row],[Id]], T_Aop[], ID_Jezik + 6, 1)</f>
        <v xml:space="preserve">  V BIOLOŠKA SREDSTVA   (018 do 021)</v>
      </c>
      <c r="G18" s="280" t="s">
        <v>1059</v>
      </c>
      <c r="H18" s="279" t="s">
        <v>1009</v>
      </c>
      <c r="I18" s="287" t="s">
        <v>998</v>
      </c>
      <c r="J18" s="369" t="s">
        <v>1981</v>
      </c>
      <c r="K18" s="368" t="s">
        <v>818</v>
      </c>
      <c r="L18" s="268" t="s">
        <v>818</v>
      </c>
      <c r="M18" s="288" t="s">
        <v>818</v>
      </c>
      <c r="N18" s="265" t="s">
        <v>818</v>
      </c>
      <c r="O18" s="10">
        <v>1</v>
      </c>
      <c r="P18" s="10"/>
    </row>
    <row r="19" spans="1:16" x14ac:dyDescent="0.2">
      <c r="A19">
        <f t="shared" si="0"/>
        <v>18</v>
      </c>
      <c r="B19" t="s">
        <v>771</v>
      </c>
      <c r="C19">
        <v>2</v>
      </c>
      <c r="D19" s="226">
        <v>18</v>
      </c>
      <c r="E19" s="2" t="str">
        <f>VLOOKUP( T_Aop[[#This Row],[Id]], T_Aop[], ID_Jezik +10, 1)</f>
        <v>050, dio 059</v>
      </c>
      <c r="F19" t="str">
        <f>REPT( "  ", T_Aop[[#This Row],[Aop nivo]]) &amp; VLOOKUP( T_Aop[[#This Row],[Id]], T_Aop[], ID_Jezik + 6, 1)</f>
        <v xml:space="preserve">    1. Šume</v>
      </c>
      <c r="G19" s="287" t="s">
        <v>1060</v>
      </c>
      <c r="H19" s="280" t="s">
        <v>1031</v>
      </c>
      <c r="I19" s="287" t="s">
        <v>2687</v>
      </c>
      <c r="J19" s="369" t="s">
        <v>1982</v>
      </c>
      <c r="K19" s="368" t="s">
        <v>819</v>
      </c>
      <c r="L19" s="267" t="s">
        <v>789</v>
      </c>
      <c r="M19" s="288" t="s">
        <v>976</v>
      </c>
      <c r="N19" s="255" t="s">
        <v>2261</v>
      </c>
      <c r="O19" s="10"/>
      <c r="P19" s="10"/>
    </row>
    <row r="20" spans="1:16" x14ac:dyDescent="0.2">
      <c r="A20">
        <f t="shared" si="0"/>
        <v>19</v>
      </c>
      <c r="B20" t="s">
        <v>771</v>
      </c>
      <c r="C20">
        <v>2</v>
      </c>
      <c r="D20" s="226">
        <v>19</v>
      </c>
      <c r="E20" s="2" t="str">
        <f>VLOOKUP( T_Aop[[#This Row],[Id]], T_Aop[], ID_Jezik +10, 1)</f>
        <v>051, dio 059</v>
      </c>
      <c r="F20" t="str">
        <f>REPT( "  ", T_Aop[[#This Row],[Aop nivo]]) &amp; VLOOKUP( T_Aop[[#This Row],[Id]], T_Aop[], ID_Jezik + 6, 1)</f>
        <v xml:space="preserve">    2. Višegodišnji zasadi</v>
      </c>
      <c r="G20" s="287" t="s">
        <v>1061</v>
      </c>
      <c r="H20" s="279" t="s">
        <v>1032</v>
      </c>
      <c r="I20" s="287" t="s">
        <v>2678</v>
      </c>
      <c r="J20" s="369" t="s">
        <v>1983</v>
      </c>
      <c r="K20" s="368" t="s">
        <v>820</v>
      </c>
      <c r="L20" s="267" t="s">
        <v>790</v>
      </c>
      <c r="M20" s="288" t="s">
        <v>977</v>
      </c>
      <c r="N20" s="255" t="s">
        <v>2262</v>
      </c>
      <c r="O20" s="10"/>
      <c r="P20" s="10"/>
    </row>
    <row r="21" spans="1:16" x14ac:dyDescent="0.2">
      <c r="A21">
        <f t="shared" si="0"/>
        <v>20</v>
      </c>
      <c r="B21" t="s">
        <v>771</v>
      </c>
      <c r="C21">
        <v>2</v>
      </c>
      <c r="D21" s="226">
        <v>20</v>
      </c>
      <c r="E21" s="2" t="str">
        <f>VLOOKUP( T_Aop[[#This Row],[Id]], T_Aop[], ID_Jezik +10, 1)</f>
        <v>052, 053 dio 059</v>
      </c>
      <c r="F21" t="str">
        <f>REPT( "  ", T_Aop[[#This Row],[Aop nivo]]) &amp; VLOOKUP( T_Aop[[#This Row],[Id]], T_Aop[], ID_Jezik + 6, 1)</f>
        <v xml:space="preserve">    3. Osnovno stado i ostala biološka sredstva</v>
      </c>
      <c r="G21" s="287" t="s">
        <v>1062</v>
      </c>
      <c r="H21" s="280" t="s">
        <v>1033</v>
      </c>
      <c r="I21" s="287" t="s">
        <v>2679</v>
      </c>
      <c r="J21" s="369" t="s">
        <v>1984</v>
      </c>
      <c r="K21" s="368" t="s">
        <v>821</v>
      </c>
      <c r="L21" s="267" t="s">
        <v>791</v>
      </c>
      <c r="M21" s="288" t="s">
        <v>978</v>
      </c>
      <c r="N21" s="255" t="s">
        <v>2263</v>
      </c>
      <c r="O21" s="10"/>
      <c r="P21" s="10"/>
    </row>
    <row r="22" spans="1:16" x14ac:dyDescent="0.2">
      <c r="A22">
        <f t="shared" si="0"/>
        <v>21</v>
      </c>
      <c r="B22" t="s">
        <v>771</v>
      </c>
      <c r="C22">
        <v>2</v>
      </c>
      <c r="D22" s="226">
        <v>21</v>
      </c>
      <c r="E22" s="2" t="str">
        <f>VLOOKUP( T_Aop[[#This Row],[Id]], T_Aop[], ID_Jezik +10, 1)</f>
        <v>055, 056 i dio 059</v>
      </c>
      <c r="F22" t="str">
        <f>REPT( "  ", T_Aop[[#This Row],[Aop nivo]]) &amp; VLOOKUP( T_Aop[[#This Row],[Id]], T_Aop[], ID_Jezik + 6, 1)</f>
        <v xml:space="preserve">    4. Avansi i biološka sredstva u pripremi </v>
      </c>
      <c r="G22" s="287" t="s">
        <v>1063</v>
      </c>
      <c r="H22" s="279" t="s">
        <v>1034</v>
      </c>
      <c r="I22" s="287" t="s">
        <v>2680</v>
      </c>
      <c r="J22" s="369" t="s">
        <v>1985</v>
      </c>
      <c r="K22" s="368" t="s">
        <v>822</v>
      </c>
      <c r="L22" s="267" t="s">
        <v>792</v>
      </c>
      <c r="M22" s="288" t="s">
        <v>979</v>
      </c>
      <c r="N22" s="255" t="s">
        <v>2264</v>
      </c>
      <c r="O22" s="10"/>
      <c r="P22" s="10"/>
    </row>
    <row r="23" spans="1:16" ht="12.75" customHeight="1" x14ac:dyDescent="0.2">
      <c r="A23">
        <f t="shared" si="0"/>
        <v>22</v>
      </c>
      <c r="B23" t="s">
        <v>771</v>
      </c>
      <c r="C23">
        <v>1</v>
      </c>
      <c r="D23" s="226">
        <v>22</v>
      </c>
      <c r="E23" s="2" t="str">
        <f>VLOOKUP( T_Aop[[#This Row],[Id]], T_Aop[], ID_Jezik +10, 1)</f>
        <v>06</v>
      </c>
      <c r="F23" t="str">
        <f>REPT( "  ", T_Aop[[#This Row],[Aop nivo]]) &amp; VLOOKUP( T_Aop[[#This Row],[Id]], T_Aop[], ID_Jezik + 6, 1)</f>
        <v xml:space="preserve">  VI  DUGOROČNI FINANSIJSKI PLASMANI (023+024+025+030+033)</v>
      </c>
      <c r="G23" s="280" t="s">
        <v>1064</v>
      </c>
      <c r="H23" s="280" t="s">
        <v>1006</v>
      </c>
      <c r="I23" s="287" t="s">
        <v>2781</v>
      </c>
      <c r="J23" s="369" t="s">
        <v>1986</v>
      </c>
      <c r="K23" s="530" t="s">
        <v>2265</v>
      </c>
      <c r="L23" s="531" t="s">
        <v>2265</v>
      </c>
      <c r="M23" s="532" t="s">
        <v>2265</v>
      </c>
      <c r="N23" s="265" t="s">
        <v>2265</v>
      </c>
      <c r="O23" s="10">
        <v>1</v>
      </c>
      <c r="P23" s="10"/>
    </row>
    <row r="24" spans="1:16" x14ac:dyDescent="0.2">
      <c r="A24">
        <f t="shared" si="0"/>
        <v>23</v>
      </c>
      <c r="B24" t="s">
        <v>771</v>
      </c>
      <c r="C24">
        <v>2</v>
      </c>
      <c r="D24" s="226">
        <v>23</v>
      </c>
      <c r="E24" s="2" t="str">
        <f>VLOOKUP( T_Aop[[#This Row],[Id]], T_Aop[], ID_Jezik +10, 1)</f>
        <v>060, dio 069</v>
      </c>
      <c r="F24" t="str">
        <f>REPT( "  ", T_Aop[[#This Row],[Aop nivo]]) &amp; VLOOKUP( T_Aop[[#This Row],[Id]], T_Aop[], ID_Jezik + 6, 1)</f>
        <v xml:space="preserve">    1. Učešće u kapitalu zavisnih subjekata</v>
      </c>
      <c r="G24" s="287" t="s">
        <v>1065</v>
      </c>
      <c r="H24" s="279" t="s">
        <v>1035</v>
      </c>
      <c r="I24" s="287" t="s">
        <v>2665</v>
      </c>
      <c r="J24" s="369" t="s">
        <v>1987</v>
      </c>
      <c r="K24" s="368" t="s">
        <v>823</v>
      </c>
      <c r="L24" s="267" t="s">
        <v>793</v>
      </c>
      <c r="M24" s="288" t="s">
        <v>980</v>
      </c>
      <c r="N24" s="255" t="s">
        <v>2266</v>
      </c>
      <c r="O24" s="10"/>
      <c r="P24" s="10"/>
    </row>
    <row r="25" spans="1:16" ht="12.75" customHeight="1" x14ac:dyDescent="0.2">
      <c r="A25">
        <f t="shared" si="0"/>
        <v>24</v>
      </c>
      <c r="B25" t="s">
        <v>771</v>
      </c>
      <c r="C25">
        <v>2</v>
      </c>
      <c r="D25" s="226">
        <v>24</v>
      </c>
      <c r="E25" s="2" t="str">
        <f>VLOOKUP( T_Aop[[#This Row],[Id]], T_Aop[], ID_Jezik +10, 1)</f>
        <v>061, dio 069</v>
      </c>
      <c r="F25" t="str">
        <f>REPT( "  ", T_Aop[[#This Row],[Aop nivo]]) &amp; VLOOKUP( T_Aop[[#This Row],[Id]], T_Aop[], ID_Jezik + 6, 1)</f>
        <v xml:space="preserve">    2. Učešće u kapitalu pridruženih subjekata i zajedničkih poduhvata</v>
      </c>
      <c r="G25" s="287" t="s">
        <v>1066</v>
      </c>
      <c r="H25" s="280" t="s">
        <v>1036</v>
      </c>
      <c r="I25" s="287" t="s">
        <v>2666</v>
      </c>
      <c r="J25" s="369" t="s">
        <v>1988</v>
      </c>
      <c r="K25" s="368" t="s">
        <v>2459</v>
      </c>
      <c r="L25" s="267" t="s">
        <v>794</v>
      </c>
      <c r="M25" s="288" t="s">
        <v>2460</v>
      </c>
      <c r="N25" s="255" t="s">
        <v>2267</v>
      </c>
      <c r="O25" s="10"/>
      <c r="P25" s="10"/>
    </row>
    <row r="26" spans="1:16" ht="15" customHeight="1" x14ac:dyDescent="0.2">
      <c r="A26">
        <f t="shared" si="0"/>
        <v>25</v>
      </c>
      <c r="B26" t="s">
        <v>771</v>
      </c>
      <c r="C26">
        <v>2</v>
      </c>
      <c r="D26" s="226">
        <v>25</v>
      </c>
      <c r="E26" s="2" t="str">
        <f>VLOOKUP( T_Aop[[#This Row],[Id]], T_Aop[], ID_Jezik +10, 1)</f>
        <v>dio 06</v>
      </c>
      <c r="F26" t="str">
        <f>REPT( "  ", T_Aop[[#This Row],[Aop nivo]]) &amp; VLOOKUP( T_Aop[[#This Row],[Id]], T_Aop[], ID_Jezik + 6, 1)</f>
        <v xml:space="preserve">    3. Finansijska sredstva po amortizovanoj vrijednosti (026 do 029)</v>
      </c>
      <c r="G26" s="287" t="s">
        <v>1067</v>
      </c>
      <c r="H26" s="285" t="s">
        <v>1043</v>
      </c>
      <c r="I26" s="287" t="s">
        <v>2667</v>
      </c>
      <c r="J26" s="369" t="s">
        <v>1989</v>
      </c>
      <c r="K26" s="368" t="s">
        <v>824</v>
      </c>
      <c r="L26" s="267" t="s">
        <v>795</v>
      </c>
      <c r="M26" s="288" t="s">
        <v>981</v>
      </c>
      <c r="N26" s="255" t="s">
        <v>2268</v>
      </c>
      <c r="O26" s="10">
        <v>1</v>
      </c>
      <c r="P26" s="10"/>
    </row>
    <row r="27" spans="1:16" x14ac:dyDescent="0.2">
      <c r="A27">
        <f t="shared" si="0"/>
        <v>26</v>
      </c>
      <c r="B27" t="s">
        <v>771</v>
      </c>
      <c r="C27">
        <v>3</v>
      </c>
      <c r="D27" s="226">
        <v>26</v>
      </c>
      <c r="E27" s="2" t="str">
        <f>VLOOKUP( T_Aop[[#This Row],[Id]], T_Aop[], ID_Jezik +10, 1)</f>
        <v>062, dio 069</v>
      </c>
      <c r="F27" t="str">
        <f>REPT( "  ", T_Aop[[#This Row],[Aop nivo]]) &amp; VLOOKUP( T_Aop[[#This Row],[Id]], T_Aop[], ID_Jezik + 6, 1)</f>
        <v xml:space="preserve">      3.1. Dugoročni krediti povezanim pravnim licima</v>
      </c>
      <c r="G27" s="287" t="s">
        <v>1068</v>
      </c>
      <c r="H27" s="280" t="s">
        <v>1037</v>
      </c>
      <c r="I27" s="287" t="s">
        <v>2668</v>
      </c>
      <c r="J27" s="369" t="s">
        <v>1990</v>
      </c>
      <c r="K27" s="368" t="s">
        <v>825</v>
      </c>
      <c r="L27" s="267" t="s">
        <v>796</v>
      </c>
      <c r="M27" s="288" t="s">
        <v>982</v>
      </c>
      <c r="N27" s="255" t="s">
        <v>2269</v>
      </c>
      <c r="O27" s="10"/>
      <c r="P27" s="10"/>
    </row>
    <row r="28" spans="1:16" x14ac:dyDescent="0.2">
      <c r="A28">
        <f t="shared" si="0"/>
        <v>27</v>
      </c>
      <c r="B28" t="s">
        <v>771</v>
      </c>
      <c r="C28">
        <v>3</v>
      </c>
      <c r="D28" s="226">
        <v>27</v>
      </c>
      <c r="E28" s="2" t="str">
        <f>VLOOKUP( T_Aop[[#This Row],[Id]], T_Aop[], ID_Jezik +10, 1)</f>
        <v>063, dio 069</v>
      </c>
      <c r="F28" t="str">
        <f>REPT( "  ", T_Aop[[#This Row],[Aop nivo]]) &amp; VLOOKUP( T_Aop[[#This Row],[Id]], T_Aop[], ID_Jezik + 6, 1)</f>
        <v xml:space="preserve">      3.2. Dugoročni krediti u zemlji</v>
      </c>
      <c r="G28" s="287" t="s">
        <v>1069</v>
      </c>
      <c r="H28" s="279" t="s">
        <v>1040</v>
      </c>
      <c r="I28" s="287" t="s">
        <v>2669</v>
      </c>
      <c r="J28" s="369" t="s">
        <v>1991</v>
      </c>
      <c r="K28" s="368" t="s">
        <v>826</v>
      </c>
      <c r="L28" s="267" t="s">
        <v>797</v>
      </c>
      <c r="M28" s="288" t="s">
        <v>983</v>
      </c>
      <c r="N28" s="255" t="s">
        <v>2270</v>
      </c>
      <c r="O28" s="10"/>
      <c r="P28" s="10"/>
    </row>
    <row r="29" spans="1:16" x14ac:dyDescent="0.2">
      <c r="A29">
        <f t="shared" si="0"/>
        <v>28</v>
      </c>
      <c r="B29" t="s">
        <v>771</v>
      </c>
      <c r="C29">
        <v>3</v>
      </c>
      <c r="D29" s="226">
        <v>28</v>
      </c>
      <c r="E29" s="2" t="str">
        <f>VLOOKUP( T_Aop[[#This Row],[Id]], T_Aop[], ID_Jezik +10, 1)</f>
        <v>064, dio 069</v>
      </c>
      <c r="F29" t="str">
        <f>REPT( "  ", T_Aop[[#This Row],[Aop nivo]]) &amp; VLOOKUP( T_Aop[[#This Row],[Id]], T_Aop[], ID_Jezik + 6, 1)</f>
        <v xml:space="preserve">      3.3. Dugoročni krediti u inostranstvu</v>
      </c>
      <c r="G29" s="287" t="s">
        <v>1070</v>
      </c>
      <c r="H29" s="280" t="s">
        <v>1038</v>
      </c>
      <c r="I29" s="287" t="s">
        <v>2670</v>
      </c>
      <c r="J29" s="369" t="s">
        <v>1992</v>
      </c>
      <c r="K29" s="368" t="s">
        <v>827</v>
      </c>
      <c r="L29" s="267" t="s">
        <v>798</v>
      </c>
      <c r="M29" s="288" t="s">
        <v>984</v>
      </c>
      <c r="N29" s="255" t="s">
        <v>2271</v>
      </c>
      <c r="O29" s="10"/>
      <c r="P29" s="10"/>
    </row>
    <row r="30" spans="1:16" ht="12.75" customHeight="1" x14ac:dyDescent="0.2">
      <c r="A30">
        <f t="shared" si="0"/>
        <v>29</v>
      </c>
      <c r="B30" t="s">
        <v>771</v>
      </c>
      <c r="C30">
        <v>3</v>
      </c>
      <c r="D30" s="226">
        <v>29</v>
      </c>
      <c r="E30" s="2" t="str">
        <f>VLOOKUP( T_Aop[[#This Row],[Id]], T_Aop[], ID_Jezik +10, 1)</f>
        <v>065, dio 069</v>
      </c>
      <c r="F30" t="str">
        <f>REPT( "  ", T_Aop[[#This Row],[Aop nivo]]) &amp; VLOOKUP( T_Aop[[#This Row],[Id]], T_Aop[], ID_Jezik + 6, 1)</f>
        <v xml:space="preserve">      3.4. Ostala finansijska sredstva po amortizovanoj vrijednosti</v>
      </c>
      <c r="G30" s="287" t="s">
        <v>1071</v>
      </c>
      <c r="H30" s="279" t="s">
        <v>1039</v>
      </c>
      <c r="I30" s="287" t="s">
        <v>2671</v>
      </c>
      <c r="J30" s="369" t="s">
        <v>1993</v>
      </c>
      <c r="K30" s="368" t="s">
        <v>828</v>
      </c>
      <c r="L30" s="267" t="s">
        <v>799</v>
      </c>
      <c r="M30" s="288" t="s">
        <v>985</v>
      </c>
      <c r="N30" s="255" t="s">
        <v>2272</v>
      </c>
      <c r="O30" s="10"/>
      <c r="P30" s="10"/>
    </row>
    <row r="31" spans="1:16" ht="15" customHeight="1" x14ac:dyDescent="0.2">
      <c r="A31">
        <f t="shared" si="0"/>
        <v>30</v>
      </c>
      <c r="B31" t="s">
        <v>771</v>
      </c>
      <c r="C31">
        <v>2</v>
      </c>
      <c r="D31" s="226">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0" t="s">
        <v>1072</v>
      </c>
      <c r="H31" s="280" t="s">
        <v>1042</v>
      </c>
      <c r="I31" s="287" t="s">
        <v>1715</v>
      </c>
      <c r="J31" s="369" t="s">
        <v>1994</v>
      </c>
      <c r="K31" s="368" t="s">
        <v>824</v>
      </c>
      <c r="L31" s="267" t="s">
        <v>795</v>
      </c>
      <c r="M31" s="288" t="s">
        <v>981</v>
      </c>
      <c r="N31" s="255" t="s">
        <v>2268</v>
      </c>
      <c r="O31" s="10">
        <v>1</v>
      </c>
      <c r="P31" s="10"/>
    </row>
    <row r="32" spans="1:16" x14ac:dyDescent="0.2">
      <c r="A32">
        <f t="shared" si="0"/>
        <v>31</v>
      </c>
      <c r="B32" t="s">
        <v>771</v>
      </c>
      <c r="C32">
        <v>3</v>
      </c>
      <c r="D32" s="226">
        <v>31</v>
      </c>
      <c r="E32" s="2" t="str">
        <f>VLOOKUP( T_Aop[[#This Row],[Id]], T_Aop[], ID_Jezik +10, 1)</f>
        <v>066, dio 069</v>
      </c>
      <c r="F32" t="str">
        <f>REPT( "  ", T_Aop[[#This Row],[Aop nivo]]) &amp; VLOOKUP( T_Aop[[#This Row],[Id]], T_Aop[], ID_Jezik + 6, 1)</f>
        <v xml:space="preserve">      4.1. Vlasnički instrumenti</v>
      </c>
      <c r="G32" s="287" t="s">
        <v>840</v>
      </c>
      <c r="H32" s="279" t="s">
        <v>1041</v>
      </c>
      <c r="I32" s="287" t="s">
        <v>2672</v>
      </c>
      <c r="J32" s="369" t="s">
        <v>1995</v>
      </c>
      <c r="K32" s="368" t="s">
        <v>829</v>
      </c>
      <c r="L32" s="267" t="s">
        <v>800</v>
      </c>
      <c r="M32" s="288" t="s">
        <v>986</v>
      </c>
      <c r="N32" s="255" t="s">
        <v>2273</v>
      </c>
      <c r="O32" s="10"/>
      <c r="P32" s="10"/>
    </row>
    <row r="33" spans="1:16" x14ac:dyDescent="0.2">
      <c r="A33">
        <f t="shared" si="0"/>
        <v>32</v>
      </c>
      <c r="B33" t="s">
        <v>771</v>
      </c>
      <c r="C33">
        <v>3</v>
      </c>
      <c r="D33" s="226">
        <v>32</v>
      </c>
      <c r="E33" s="2" t="str">
        <f>VLOOKUP( T_Aop[[#This Row],[Id]], T_Aop[], ID_Jezik +10, 1)</f>
        <v>067, dio 069</v>
      </c>
      <c r="F33" t="str">
        <f>REPT( "  ", T_Aop[[#This Row],[Aop nivo]]) &amp; VLOOKUP( T_Aop[[#This Row],[Id]], T_Aop[], ID_Jezik + 6, 1)</f>
        <v xml:space="preserve">      4.2. Dužnički instrumenti</v>
      </c>
      <c r="G33" s="287" t="s">
        <v>841</v>
      </c>
      <c r="H33" s="280" t="s">
        <v>1044</v>
      </c>
      <c r="I33" s="287" t="s">
        <v>2673</v>
      </c>
      <c r="J33" s="369" t="s">
        <v>1996</v>
      </c>
      <c r="K33" s="368" t="s">
        <v>2726</v>
      </c>
      <c r="L33" s="267" t="s">
        <v>801</v>
      </c>
      <c r="M33" s="288" t="s">
        <v>2727</v>
      </c>
      <c r="N33" s="255" t="s">
        <v>2274</v>
      </c>
      <c r="O33" s="10"/>
      <c r="P33" s="10"/>
    </row>
    <row r="34" spans="1:16" x14ac:dyDescent="0.2">
      <c r="A34">
        <f t="shared" si="0"/>
        <v>33</v>
      </c>
      <c r="B34" t="s">
        <v>771</v>
      </c>
      <c r="C34">
        <v>2</v>
      </c>
      <c r="D34" s="226">
        <v>33</v>
      </c>
      <c r="E34" s="2" t="str">
        <f>VLOOKUP( T_Aop[[#This Row],[Id]], T_Aop[], ID_Jezik +10, 1)</f>
        <v>068, dio 069</v>
      </c>
      <c r="F34" t="str">
        <f>REPT( "  ", T_Aop[[#This Row],[Aop nivo]]) &amp; VLOOKUP( T_Aop[[#This Row],[Id]], T_Aop[], ID_Jezik + 6, 1)</f>
        <v xml:space="preserve">    5. Potraživanja po finansijskom lizingu</v>
      </c>
      <c r="G34" s="287" t="s">
        <v>842</v>
      </c>
      <c r="H34" s="279" t="s">
        <v>1045</v>
      </c>
      <c r="I34" s="287" t="s">
        <v>2674</v>
      </c>
      <c r="J34" s="369" t="s">
        <v>1997</v>
      </c>
      <c r="K34" s="368" t="s">
        <v>830</v>
      </c>
      <c r="L34" s="267" t="s">
        <v>802</v>
      </c>
      <c r="M34" s="288" t="s">
        <v>987</v>
      </c>
      <c r="N34" s="255" t="s">
        <v>2275</v>
      </c>
      <c r="O34" s="10"/>
      <c r="P34" s="10"/>
    </row>
    <row r="35" spans="1:16" x14ac:dyDescent="0.2">
      <c r="A35">
        <f t="shared" si="0"/>
        <v>34</v>
      </c>
      <c r="B35" t="s">
        <v>771</v>
      </c>
      <c r="C35">
        <v>1</v>
      </c>
      <c r="D35" s="226">
        <v>34</v>
      </c>
      <c r="E35" s="2" t="str">
        <f>VLOOKUP( T_Aop[[#This Row],[Id]], T_Aop[], ID_Jezik +10, 1)</f>
        <v>07 i 08</v>
      </c>
      <c r="F35" t="str">
        <f>REPT( "  ", T_Aop[[#This Row],[Aop nivo]]) &amp; VLOOKUP( T_Aop[[#This Row],[Id]], T_Aop[], ID_Jezik + 6, 1)</f>
        <v xml:space="preserve">  VII OSTALA DUGOROČNA SREDSTVA I RAZGRANIČENJA</v>
      </c>
      <c r="G35" s="280" t="s">
        <v>2871</v>
      </c>
      <c r="H35" s="280" t="s">
        <v>782</v>
      </c>
      <c r="I35" s="287" t="s">
        <v>999</v>
      </c>
      <c r="J35" s="369" t="s">
        <v>1998</v>
      </c>
      <c r="K35" s="368" t="s">
        <v>831</v>
      </c>
      <c r="L35" s="267" t="s">
        <v>803</v>
      </c>
      <c r="M35" s="288" t="s">
        <v>988</v>
      </c>
      <c r="N35" s="255" t="s">
        <v>803</v>
      </c>
      <c r="O35" s="10"/>
      <c r="P35" s="10"/>
    </row>
    <row r="36" spans="1:16" x14ac:dyDescent="0.2">
      <c r="A36">
        <f t="shared" si="0"/>
        <v>35</v>
      </c>
      <c r="B36" t="s">
        <v>771</v>
      </c>
      <c r="C36">
        <v>1</v>
      </c>
      <c r="D36" s="226">
        <v>35</v>
      </c>
      <c r="E36" s="2" t="str">
        <f>VLOOKUP( T_Aop[[#This Row],[Id]], T_Aop[], ID_Jezik +10, 1)</f>
        <v>090</v>
      </c>
      <c r="F36" t="str">
        <f>REPT( "  ", T_Aop[[#This Row],[Aop nivo]]) &amp; VLOOKUP( T_Aop[[#This Row],[Id]], T_Aop[], ID_Jezik + 6, 1)</f>
        <v xml:space="preserve">  B. ODLOŽENA PORESKA SREDSTVA</v>
      </c>
      <c r="G36" s="280" t="s">
        <v>1073</v>
      </c>
      <c r="H36" s="279" t="s">
        <v>783</v>
      </c>
      <c r="I36" s="287" t="s">
        <v>2784</v>
      </c>
      <c r="J36" s="369" t="s">
        <v>1999</v>
      </c>
      <c r="K36" s="529" t="s">
        <v>2276</v>
      </c>
      <c r="L36" s="562" t="s">
        <v>2276</v>
      </c>
      <c r="M36" s="532" t="s">
        <v>2276</v>
      </c>
      <c r="N36" s="265" t="s">
        <v>2276</v>
      </c>
      <c r="O36" s="10"/>
      <c r="P36" s="10"/>
    </row>
    <row r="37" spans="1:16" x14ac:dyDescent="0.2">
      <c r="A37">
        <f t="shared" si="0"/>
        <v>36</v>
      </c>
      <c r="B37" t="s">
        <v>771</v>
      </c>
      <c r="C37">
        <v>1</v>
      </c>
      <c r="D37" s="226">
        <v>36</v>
      </c>
      <c r="E37" s="2" t="str">
        <f>VLOOKUP( T_Aop[[#This Row],[Id]], T_Aop[], ID_Jezik +10, 1)</f>
        <v xml:space="preserve"> </v>
      </c>
      <c r="F37" t="str">
        <f>REPT( "  ", T_Aop[[#This Row],[Aop nivo]]) &amp; VLOOKUP( T_Aop[[#This Row],[Id]], T_Aop[], ID_Jezik + 6, 1)</f>
        <v xml:space="preserve">  V. TEKUĆA SREDSTVA (037+044)</v>
      </c>
      <c r="G37" s="280" t="s">
        <v>1074</v>
      </c>
      <c r="H37" s="280" t="s">
        <v>784</v>
      </c>
      <c r="I37" s="287" t="s">
        <v>2785</v>
      </c>
      <c r="J37" s="369" t="s">
        <v>2000</v>
      </c>
      <c r="K37" s="368" t="s">
        <v>786</v>
      </c>
      <c r="L37" s="268" t="s">
        <v>786</v>
      </c>
      <c r="M37" s="288" t="s">
        <v>786</v>
      </c>
      <c r="N37" s="255"/>
      <c r="O37" s="10">
        <v>1</v>
      </c>
      <c r="P37" s="10"/>
    </row>
    <row r="38" spans="1:16" ht="15" customHeight="1" x14ac:dyDescent="0.2">
      <c r="A38">
        <f t="shared" si="0"/>
        <v>37</v>
      </c>
      <c r="B38" t="s">
        <v>771</v>
      </c>
      <c r="C38">
        <v>1</v>
      </c>
      <c r="D38" s="226">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0" t="s">
        <v>2761</v>
      </c>
      <c r="H38" s="279" t="s">
        <v>1011</v>
      </c>
      <c r="I38" s="287" t="s">
        <v>2786</v>
      </c>
      <c r="J38" s="369" t="s">
        <v>2001</v>
      </c>
      <c r="K38" s="368" t="s">
        <v>71</v>
      </c>
      <c r="L38" s="267" t="s">
        <v>621</v>
      </c>
      <c r="M38" s="288" t="s">
        <v>45</v>
      </c>
      <c r="N38" s="255" t="s">
        <v>621</v>
      </c>
      <c r="O38" s="10">
        <v>1</v>
      </c>
      <c r="P38" s="10"/>
    </row>
    <row r="39" spans="1:16" x14ac:dyDescent="0.2">
      <c r="A39">
        <f t="shared" si="0"/>
        <v>38</v>
      </c>
      <c r="B39" t="s">
        <v>771</v>
      </c>
      <c r="C39">
        <v>2</v>
      </c>
      <c r="D39" s="226">
        <v>38</v>
      </c>
      <c r="E39" s="2" t="str">
        <f>VLOOKUP( T_Aop[[#This Row],[Id]], T_Aop[], ID_Jezik +10, 1)</f>
        <v>100 do 109</v>
      </c>
      <c r="F39" t="str">
        <f>REPT( "  ", T_Aop[[#This Row],[Aop nivo]]) &amp; VLOOKUP( T_Aop[[#This Row],[Id]], T_Aop[], ID_Jezik + 6, 1)</f>
        <v xml:space="preserve">    1. Zalihe materijala</v>
      </c>
      <c r="G39" s="287" t="s">
        <v>81</v>
      </c>
      <c r="H39" s="280" t="s">
        <v>1015</v>
      </c>
      <c r="I39" s="287" t="s">
        <v>1716</v>
      </c>
      <c r="J39" s="369" t="s">
        <v>2002</v>
      </c>
      <c r="K39" s="368" t="s">
        <v>80</v>
      </c>
      <c r="L39" s="267" t="s">
        <v>622</v>
      </c>
      <c r="M39" s="288" t="s">
        <v>46</v>
      </c>
      <c r="N39" s="255" t="s">
        <v>622</v>
      </c>
      <c r="O39" s="10"/>
      <c r="P39" s="10"/>
    </row>
    <row r="40" spans="1:16" ht="12.75" customHeight="1" x14ac:dyDescent="0.2">
      <c r="A40">
        <f t="shared" si="0"/>
        <v>39</v>
      </c>
      <c r="B40" t="s">
        <v>771</v>
      </c>
      <c r="C40">
        <v>2</v>
      </c>
      <c r="D40" s="226">
        <v>39</v>
      </c>
      <c r="E40" s="2" t="str">
        <f>VLOOKUP( T_Aop[[#This Row],[Id]], T_Aop[], ID_Jezik +10, 1)</f>
        <v>110 do 119</v>
      </c>
      <c r="F40" t="str">
        <f>REPT( "  ", T_Aop[[#This Row],[Aop nivo]]) &amp; VLOOKUP( T_Aop[[#This Row],[Id]], T_Aop[], ID_Jezik + 6, 1)</f>
        <v xml:space="preserve">    2. Zalihe nedovršene proizvodnje, poluproizvoda i nedovršenih usluga</v>
      </c>
      <c r="G40" s="287" t="s">
        <v>82</v>
      </c>
      <c r="H40" s="279" t="s">
        <v>1016</v>
      </c>
      <c r="I40" s="287" t="s">
        <v>1717</v>
      </c>
      <c r="J40" s="369" t="s">
        <v>2003</v>
      </c>
      <c r="K40" s="368" t="s">
        <v>623</v>
      </c>
      <c r="L40" s="267" t="s">
        <v>624</v>
      </c>
      <c r="M40" s="288" t="s">
        <v>625</v>
      </c>
      <c r="N40" s="255" t="s">
        <v>624</v>
      </c>
      <c r="O40" s="10"/>
      <c r="P40" s="10"/>
    </row>
    <row r="41" spans="1:16" x14ac:dyDescent="0.2">
      <c r="A41">
        <f t="shared" si="0"/>
        <v>40</v>
      </c>
      <c r="B41" t="s">
        <v>771</v>
      </c>
      <c r="C41">
        <v>2</v>
      </c>
      <c r="D41" s="226">
        <v>40</v>
      </c>
      <c r="E41" s="2" t="str">
        <f>VLOOKUP( T_Aop[[#This Row],[Id]], T_Aop[], ID_Jezik +10, 1)</f>
        <v>120 do 129</v>
      </c>
      <c r="F41" t="str">
        <f>REPT( "  ", T_Aop[[#This Row],[Aop nivo]]) &amp; VLOOKUP( T_Aop[[#This Row],[Id]], T_Aop[], ID_Jezik + 6, 1)</f>
        <v xml:space="preserve">    3. Zalihe gotovih proizvoda</v>
      </c>
      <c r="G41" s="287" t="s">
        <v>83</v>
      </c>
      <c r="H41" s="280" t="s">
        <v>1017</v>
      </c>
      <c r="I41" s="287" t="s">
        <v>1718</v>
      </c>
      <c r="J41" s="369" t="s">
        <v>2004</v>
      </c>
      <c r="K41" s="368" t="s">
        <v>626</v>
      </c>
      <c r="L41" s="267" t="s">
        <v>627</v>
      </c>
      <c r="M41" s="288" t="s">
        <v>628</v>
      </c>
      <c r="N41" s="255" t="s">
        <v>627</v>
      </c>
      <c r="O41" s="10"/>
      <c r="P41" s="10"/>
    </row>
    <row r="42" spans="1:16" x14ac:dyDescent="0.2">
      <c r="A42">
        <f t="shared" si="0"/>
        <v>41</v>
      </c>
      <c r="B42" t="s">
        <v>771</v>
      </c>
      <c r="C42">
        <v>2</v>
      </c>
      <c r="D42" s="226">
        <v>41</v>
      </c>
      <c r="E42" s="2" t="str">
        <f>VLOOKUP( T_Aop[[#This Row],[Id]], T_Aop[], ID_Jezik +10, 1)</f>
        <v>130 do 139</v>
      </c>
      <c r="F42" t="str">
        <f>REPT( "  ", T_Aop[[#This Row],[Aop nivo]]) &amp; VLOOKUP( T_Aop[[#This Row],[Id]], T_Aop[], ID_Jezik + 6, 1)</f>
        <v xml:space="preserve">    4. Zalihe robe</v>
      </c>
      <c r="G42" s="287" t="s">
        <v>85</v>
      </c>
      <c r="H42" s="279" t="s">
        <v>1018</v>
      </c>
      <c r="I42" s="287" t="s">
        <v>1719</v>
      </c>
      <c r="J42" s="369" t="s">
        <v>2005</v>
      </c>
      <c r="K42" s="368" t="s">
        <v>84</v>
      </c>
      <c r="L42" s="267" t="s">
        <v>629</v>
      </c>
      <c r="M42" s="288" t="s">
        <v>47</v>
      </c>
      <c r="N42" s="255" t="s">
        <v>629</v>
      </c>
      <c r="O42" s="10"/>
      <c r="P42" s="10"/>
    </row>
    <row r="43" spans="1:16" ht="12.75" customHeight="1" x14ac:dyDescent="0.2">
      <c r="A43">
        <f t="shared" si="0"/>
        <v>42</v>
      </c>
      <c r="B43" t="s">
        <v>771</v>
      </c>
      <c r="C43">
        <v>2</v>
      </c>
      <c r="D43" s="226">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7" t="s">
        <v>1075</v>
      </c>
      <c r="H43" s="280" t="s">
        <v>1019</v>
      </c>
      <c r="I43" s="287" t="s">
        <v>1720</v>
      </c>
      <c r="J43" s="369" t="s">
        <v>2006</v>
      </c>
      <c r="K43" s="368" t="s">
        <v>86</v>
      </c>
      <c r="L43" s="267" t="s">
        <v>630</v>
      </c>
      <c r="M43" s="288" t="s">
        <v>48</v>
      </c>
      <c r="N43" s="255" t="s">
        <v>630</v>
      </c>
      <c r="O43" s="10"/>
      <c r="P43" s="10"/>
    </row>
    <row r="44" spans="1:16" x14ac:dyDescent="0.2">
      <c r="A44">
        <f t="shared" si="0"/>
        <v>43</v>
      </c>
      <c r="B44" t="s">
        <v>771</v>
      </c>
      <c r="C44">
        <v>2</v>
      </c>
      <c r="D44" s="226">
        <v>43</v>
      </c>
      <c r="E44" s="2" t="str">
        <f>VLOOKUP( T_Aop[[#This Row],[Id]], T_Aop[], ID_Jezik +10, 1)</f>
        <v>150 do 159</v>
      </c>
      <c r="F44" t="str">
        <f>REPT( "  ", T_Aop[[#This Row],[Aop nivo]]) &amp; VLOOKUP( T_Aop[[#This Row],[Id]], T_Aop[], ID_Jezik + 6, 1)</f>
        <v xml:space="preserve">    6. Dati avansi</v>
      </c>
      <c r="G44" s="287" t="s">
        <v>72</v>
      </c>
      <c r="H44" s="279" t="s">
        <v>1020</v>
      </c>
      <c r="I44" s="287" t="s">
        <v>1721</v>
      </c>
      <c r="J44" s="369" t="s">
        <v>2007</v>
      </c>
      <c r="K44" s="368" t="s">
        <v>87</v>
      </c>
      <c r="L44" s="267" t="s">
        <v>631</v>
      </c>
      <c r="M44" s="288" t="s">
        <v>49</v>
      </c>
      <c r="N44" s="255" t="s">
        <v>631</v>
      </c>
      <c r="O44" s="10"/>
      <c r="P44" s="10"/>
    </row>
    <row r="45" spans="1:16" ht="15" customHeight="1" x14ac:dyDescent="0.2">
      <c r="A45">
        <f t="shared" si="0"/>
        <v>44</v>
      </c>
      <c r="B45" t="s">
        <v>771</v>
      </c>
      <c r="C45">
        <v>1</v>
      </c>
      <c r="D45" s="226">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7" t="s">
        <v>2711</v>
      </c>
      <c r="H45" s="280" t="s">
        <v>1010</v>
      </c>
      <c r="I45" s="287" t="s">
        <v>1000</v>
      </c>
      <c r="J45" s="287" t="s">
        <v>2008</v>
      </c>
      <c r="K45" s="268" t="s">
        <v>786</v>
      </c>
      <c r="L45" s="267"/>
      <c r="M45" s="288" t="s">
        <v>786</v>
      </c>
      <c r="N45" s="255"/>
      <c r="O45" s="10">
        <v>1</v>
      </c>
      <c r="P45" s="10"/>
    </row>
    <row r="46" spans="1:16" x14ac:dyDescent="0.2">
      <c r="A46">
        <f t="shared" si="0"/>
        <v>45</v>
      </c>
      <c r="B46" t="s">
        <v>771</v>
      </c>
      <c r="C46">
        <v>2</v>
      </c>
      <c r="D46" s="226">
        <v>45</v>
      </c>
      <c r="E46" s="2" t="str">
        <f>VLOOKUP( T_Aop[[#This Row],[Id]], T_Aop[], ID_Jezik +10, 1)</f>
        <v xml:space="preserve"> </v>
      </c>
      <c r="F46" t="str">
        <f>REPT( "  ", T_Aop[[#This Row],[Aop nivo]]) &amp; VLOOKUP( T_Aop[[#This Row],[Id]], T_Aop[], ID_Jezik + 6, 1)</f>
        <v xml:space="preserve">    1. Kratkoročna potraživanja (046 do 051)</v>
      </c>
      <c r="G46" s="287" t="s">
        <v>843</v>
      </c>
      <c r="H46" s="279" t="s">
        <v>1014</v>
      </c>
      <c r="I46" s="287" t="s">
        <v>1722</v>
      </c>
      <c r="J46" s="369" t="s">
        <v>2009</v>
      </c>
      <c r="K46" s="368" t="s">
        <v>786</v>
      </c>
      <c r="L46" s="267"/>
      <c r="M46" s="288" t="s">
        <v>786</v>
      </c>
      <c r="N46" s="255"/>
      <c r="O46" s="10"/>
      <c r="P46" s="10"/>
    </row>
    <row r="47" spans="1:16" x14ac:dyDescent="0.2">
      <c r="A47">
        <f t="shared" si="0"/>
        <v>46</v>
      </c>
      <c r="B47" t="s">
        <v>771</v>
      </c>
      <c r="C47">
        <v>3</v>
      </c>
      <c r="D47" s="226">
        <v>46</v>
      </c>
      <c r="E47" s="2" t="str">
        <f>VLOOKUP( T_Aop[[#This Row],[Id]], T_Aop[], ID_Jezik +10, 1)</f>
        <v>200, dio 209</v>
      </c>
      <c r="F47" t="str">
        <f>REPT( "  ", T_Aop[[#This Row],[Aop nivo]]) &amp; VLOOKUP( T_Aop[[#This Row],[Id]], T_Aop[], ID_Jezik + 6, 1)</f>
        <v xml:space="preserve">      1.1. Kupci - povezana pravna lica</v>
      </c>
      <c r="G47" s="287" t="s">
        <v>844</v>
      </c>
      <c r="H47" s="280" t="s">
        <v>1589</v>
      </c>
      <c r="I47" s="287" t="s">
        <v>1723</v>
      </c>
      <c r="J47" s="369" t="s">
        <v>2807</v>
      </c>
      <c r="K47" s="368" t="s">
        <v>88</v>
      </c>
      <c r="L47" s="267" t="s">
        <v>632</v>
      </c>
      <c r="M47" s="288" t="s">
        <v>6</v>
      </c>
      <c r="N47" s="255" t="s">
        <v>2277</v>
      </c>
      <c r="O47" s="10"/>
      <c r="P47" s="10"/>
    </row>
    <row r="48" spans="1:16" x14ac:dyDescent="0.2">
      <c r="A48">
        <f t="shared" si="0"/>
        <v>47</v>
      </c>
      <c r="B48" t="s">
        <v>771</v>
      </c>
      <c r="C48">
        <v>3</v>
      </c>
      <c r="D48" s="226">
        <v>47</v>
      </c>
      <c r="E48" s="2" t="str">
        <f>VLOOKUP( T_Aop[[#This Row],[Id]], T_Aop[], ID_Jezik +10, 1)</f>
        <v>201, 202, 203, dio 209</v>
      </c>
      <c r="F48" t="str">
        <f>REPT( "  ", T_Aop[[#This Row],[Aop nivo]]) &amp; VLOOKUP( T_Aop[[#This Row],[Id]], T_Aop[], ID_Jezik + 6, 1)</f>
        <v xml:space="preserve">      1.2. Kupci u zemlji</v>
      </c>
      <c r="G48" s="287" t="s">
        <v>845</v>
      </c>
      <c r="H48" s="279" t="s">
        <v>1586</v>
      </c>
      <c r="I48" s="287" t="s">
        <v>1724</v>
      </c>
      <c r="J48" s="369" t="s">
        <v>2808</v>
      </c>
      <c r="K48" s="368" t="s">
        <v>633</v>
      </c>
      <c r="L48" s="267" t="s">
        <v>804</v>
      </c>
      <c r="M48" s="288" t="s">
        <v>634</v>
      </c>
      <c r="N48" s="255" t="s">
        <v>2278</v>
      </c>
      <c r="O48" s="10"/>
      <c r="P48" s="10"/>
    </row>
    <row r="49" spans="1:16" x14ac:dyDescent="0.2">
      <c r="A49">
        <f t="shared" si="0"/>
        <v>48</v>
      </c>
      <c r="B49" t="s">
        <v>771</v>
      </c>
      <c r="C49">
        <v>3</v>
      </c>
      <c r="D49" s="226">
        <v>48</v>
      </c>
      <c r="E49" s="2" t="str">
        <f>VLOOKUP( T_Aop[[#This Row],[Id]], T_Aop[], ID_Jezik +10, 1)</f>
        <v>204, dio 209</v>
      </c>
      <c r="F49" t="str">
        <f>REPT( "  ", T_Aop[[#This Row],[Aop nivo]]) &amp; VLOOKUP( T_Aop[[#This Row],[Id]], T_Aop[], ID_Jezik + 6, 1)</f>
        <v xml:space="preserve">      1.3. Kupci iz inostranstva</v>
      </c>
      <c r="G49" s="287" t="s">
        <v>846</v>
      </c>
      <c r="H49" s="280" t="s">
        <v>1587</v>
      </c>
      <c r="I49" s="287" t="s">
        <v>1725</v>
      </c>
      <c r="J49" s="369" t="s">
        <v>2809</v>
      </c>
      <c r="K49" s="368" t="s">
        <v>635</v>
      </c>
      <c r="L49" s="267" t="s">
        <v>636</v>
      </c>
      <c r="M49" s="288" t="s">
        <v>637</v>
      </c>
      <c r="N49" s="255" t="s">
        <v>2279</v>
      </c>
      <c r="O49" s="10"/>
      <c r="P49" s="10"/>
    </row>
    <row r="50" spans="1:16" x14ac:dyDescent="0.2">
      <c r="A50">
        <f t="shared" si="0"/>
        <v>49</v>
      </c>
      <c r="B50" t="s">
        <v>771</v>
      </c>
      <c r="C50">
        <v>3</v>
      </c>
      <c r="D50" s="226">
        <v>49</v>
      </c>
      <c r="E50" s="2" t="str">
        <f>VLOOKUP( T_Aop[[#This Row],[Id]], T_Aop[], ID_Jezik +10, 1)</f>
        <v>grupa 21, osim 214</v>
      </c>
      <c r="F50" t="str">
        <f>REPT( "  ", T_Aop[[#This Row],[Aop nivo]]) &amp; VLOOKUP( T_Aop[[#This Row],[Id]], T_Aop[], ID_Jezik + 6, 1)</f>
        <v xml:space="preserve">      1.4.Potraživanja iz specifičnih poslova</v>
      </c>
      <c r="G50" s="287" t="s">
        <v>847</v>
      </c>
      <c r="H50" s="279" t="s">
        <v>1588</v>
      </c>
      <c r="I50" s="287" t="s">
        <v>1726</v>
      </c>
      <c r="J50" s="369" t="s">
        <v>2810</v>
      </c>
      <c r="K50" s="368" t="s">
        <v>832</v>
      </c>
      <c r="L50" s="267" t="s">
        <v>805</v>
      </c>
      <c r="M50" s="288" t="s">
        <v>989</v>
      </c>
      <c r="N50" s="255" t="s">
        <v>2280</v>
      </c>
      <c r="O50" s="10"/>
      <c r="P50" s="10"/>
    </row>
    <row r="51" spans="1:16" x14ac:dyDescent="0.2">
      <c r="A51">
        <f t="shared" si="0"/>
        <v>50</v>
      </c>
      <c r="B51" t="s">
        <v>771</v>
      </c>
      <c r="C51">
        <v>3</v>
      </c>
      <c r="D51" s="226">
        <v>50</v>
      </c>
      <c r="E51" s="2" t="str">
        <f>VLOOKUP( T_Aop[[#This Row],[Id]], T_Aop[], ID_Jezik +10, 1)</f>
        <v>grupa 22, osim 224</v>
      </c>
      <c r="F51" t="str">
        <f>REPT( "  ", T_Aop[[#This Row],[Aop nivo]]) &amp; VLOOKUP( T_Aop[[#This Row],[Id]], T_Aop[], ID_Jezik + 6, 1)</f>
        <v xml:space="preserve">      1.5. Ostala kratkoročna potraživanja</v>
      </c>
      <c r="G51" s="287" t="s">
        <v>848</v>
      </c>
      <c r="H51" s="280" t="s">
        <v>1590</v>
      </c>
      <c r="I51" s="287" t="s">
        <v>1727</v>
      </c>
      <c r="J51" s="369" t="s">
        <v>2811</v>
      </c>
      <c r="K51" s="368" t="s">
        <v>833</v>
      </c>
      <c r="L51" s="267" t="s">
        <v>806</v>
      </c>
      <c r="M51" s="288" t="s">
        <v>990</v>
      </c>
      <c r="N51" s="255" t="s">
        <v>2281</v>
      </c>
      <c r="O51" s="10"/>
      <c r="P51" s="10"/>
    </row>
    <row r="52" spans="1:16" x14ac:dyDescent="0.2">
      <c r="A52">
        <f t="shared" si="0"/>
        <v>51</v>
      </c>
      <c r="B52" t="s">
        <v>771</v>
      </c>
      <c r="C52">
        <v>3</v>
      </c>
      <c r="D52" s="226">
        <v>51</v>
      </c>
      <c r="E52" s="2">
        <f>VLOOKUP( T_Aop[[#This Row],[Id]], T_Aop[], ID_Jezik +10, 1)</f>
        <v>224</v>
      </c>
      <c r="F52" t="str">
        <f>REPT( "  ", T_Aop[[#This Row],[Aop nivo]]) &amp; VLOOKUP( T_Aop[[#This Row],[Id]], T_Aop[], ID_Jezik + 6, 1)</f>
        <v xml:space="preserve">      1.6. Potraživanja za više plaćen porez na dobit</v>
      </c>
      <c r="G52" s="287" t="s">
        <v>849</v>
      </c>
      <c r="H52" s="279" t="s">
        <v>1591</v>
      </c>
      <c r="I52" s="287" t="s">
        <v>1728</v>
      </c>
      <c r="J52" s="369" t="s">
        <v>2812</v>
      </c>
      <c r="K52" s="368">
        <v>224</v>
      </c>
      <c r="L52" s="267">
        <v>224</v>
      </c>
      <c r="M52" s="288">
        <v>224</v>
      </c>
      <c r="N52" s="255">
        <v>224</v>
      </c>
      <c r="O52" s="10"/>
      <c r="P52" s="10"/>
    </row>
    <row r="53" spans="1:16" ht="15" customHeight="1" x14ac:dyDescent="0.2">
      <c r="A53">
        <f t="shared" si="0"/>
        <v>52</v>
      </c>
      <c r="B53" t="s">
        <v>771</v>
      </c>
      <c r="C53">
        <v>2</v>
      </c>
      <c r="D53" s="226">
        <v>52</v>
      </c>
      <c r="E53" s="2" t="str">
        <f>VLOOKUP( T_Aop[[#This Row],[Id]], T_Aop[], ID_Jezik +10, 1)</f>
        <v xml:space="preserve"> </v>
      </c>
      <c r="F53" t="str">
        <f>REPT( "  ", T_Aop[[#This Row],[Aop nivo]]) &amp; VLOOKUP( T_Aop[[#This Row],[Id]], T_Aop[], ID_Jezik + 6, 1)</f>
        <v xml:space="preserve">    2. Kratkoročni finansijski plasmani ( 053 + 058 + 059 + 060)</v>
      </c>
      <c r="G53" s="287" t="s">
        <v>850</v>
      </c>
      <c r="H53" s="280" t="s">
        <v>785</v>
      </c>
      <c r="I53" s="287" t="s">
        <v>1001</v>
      </c>
      <c r="J53" s="369" t="s">
        <v>2010</v>
      </c>
      <c r="K53" s="368" t="s">
        <v>786</v>
      </c>
      <c r="L53" s="267"/>
      <c r="M53" s="288" t="s">
        <v>786</v>
      </c>
      <c r="N53" s="255"/>
      <c r="O53" s="10">
        <v>1</v>
      </c>
      <c r="P53" s="10"/>
    </row>
    <row r="54" spans="1:16" ht="12.75" customHeight="1" x14ac:dyDescent="0.2">
      <c r="A54">
        <f t="shared" si="0"/>
        <v>53</v>
      </c>
      <c r="B54" t="s">
        <v>771</v>
      </c>
      <c r="C54">
        <v>3</v>
      </c>
      <c r="D54" s="226">
        <v>53</v>
      </c>
      <c r="E54" s="2" t="str">
        <f>VLOOKUP( T_Aop[[#This Row],[Id]], T_Aop[], ID_Jezik +10, 1)</f>
        <v xml:space="preserve"> </v>
      </c>
      <c r="F54" t="str">
        <f>REPT( "  ", T_Aop[[#This Row],[Aop nivo]]) &amp; VLOOKUP( T_Aop[[#This Row],[Id]], T_Aop[], ID_Jezik + 6, 1)</f>
        <v xml:space="preserve">      2.1. Finansijska sredstva po amortizovanoj vrijednosti (054 do 057)</v>
      </c>
      <c r="G54" s="287" t="s">
        <v>2769</v>
      </c>
      <c r="H54" s="279" t="s">
        <v>1584</v>
      </c>
      <c r="I54" s="287" t="s">
        <v>1729</v>
      </c>
      <c r="J54" s="369" t="s">
        <v>2813</v>
      </c>
      <c r="K54" s="368" t="s">
        <v>786</v>
      </c>
      <c r="L54" s="267"/>
      <c r="M54" s="288" t="s">
        <v>786</v>
      </c>
      <c r="N54" s="255"/>
      <c r="O54" s="10">
        <v>1</v>
      </c>
      <c r="P54" s="10"/>
    </row>
    <row r="55" spans="1:16" x14ac:dyDescent="0.2">
      <c r="A55">
        <f t="shared" si="0"/>
        <v>54</v>
      </c>
      <c r="B55" t="s">
        <v>771</v>
      </c>
      <c r="C55">
        <v>4</v>
      </c>
      <c r="D55" s="226">
        <v>54</v>
      </c>
      <c r="E55" s="2" t="str">
        <f>VLOOKUP( T_Aop[[#This Row],[Id]], T_Aop[], ID_Jezik +10, 1)</f>
        <v>230, dio 238</v>
      </c>
      <c r="F55" t="str">
        <f>REPT( "  ", T_Aop[[#This Row],[Aop nivo]]) &amp; VLOOKUP( T_Aop[[#This Row],[Id]], T_Aop[], ID_Jezik + 6, 1)</f>
        <v xml:space="preserve">        a) Kratkoročni krediti povezanim pravnim licima</v>
      </c>
      <c r="G55" s="287" t="s">
        <v>90</v>
      </c>
      <c r="H55" s="280" t="s">
        <v>1581</v>
      </c>
      <c r="I55" s="287" t="s">
        <v>1730</v>
      </c>
      <c r="J55" s="369" t="s">
        <v>2011</v>
      </c>
      <c r="K55" s="368" t="s">
        <v>834</v>
      </c>
      <c r="L55" s="267" t="s">
        <v>807</v>
      </c>
      <c r="M55" s="288" t="s">
        <v>991</v>
      </c>
      <c r="N55" s="255" t="s">
        <v>2282</v>
      </c>
      <c r="O55" s="10"/>
      <c r="P55" s="10"/>
    </row>
    <row r="56" spans="1:16" x14ac:dyDescent="0.2">
      <c r="A56">
        <f t="shared" si="0"/>
        <v>55</v>
      </c>
      <c r="B56" t="s">
        <v>771</v>
      </c>
      <c r="C56">
        <v>4</v>
      </c>
      <c r="D56" s="226">
        <v>55</v>
      </c>
      <c r="E56" s="2" t="str">
        <f>VLOOKUP( T_Aop[[#This Row],[Id]], T_Aop[], ID_Jezik +10, 1)</f>
        <v>231, dio 238</v>
      </c>
      <c r="F56" t="str">
        <f>REPT( "  ", T_Aop[[#This Row],[Aop nivo]]) &amp; VLOOKUP( T_Aop[[#This Row],[Id]], T_Aop[], ID_Jezik + 6, 1)</f>
        <v xml:space="preserve">        b) Kratkoročni krediti u zemlji</v>
      </c>
      <c r="G56" s="287" t="s">
        <v>91</v>
      </c>
      <c r="H56" s="279" t="s">
        <v>1582</v>
      </c>
      <c r="I56" s="287" t="s">
        <v>1731</v>
      </c>
      <c r="J56" s="369" t="s">
        <v>2012</v>
      </c>
      <c r="K56" s="368" t="s">
        <v>835</v>
      </c>
      <c r="L56" s="267" t="s">
        <v>808</v>
      </c>
      <c r="M56" s="288" t="s">
        <v>992</v>
      </c>
      <c r="N56" s="265" t="s">
        <v>2283</v>
      </c>
      <c r="O56" s="10"/>
      <c r="P56" s="10"/>
    </row>
    <row r="57" spans="1:16" x14ac:dyDescent="0.2">
      <c r="A57">
        <f t="shared" si="0"/>
        <v>56</v>
      </c>
      <c r="B57" t="s">
        <v>771</v>
      </c>
      <c r="C57">
        <v>4</v>
      </c>
      <c r="D57" s="226">
        <v>56</v>
      </c>
      <c r="E57" s="2" t="str">
        <f>VLOOKUP( T_Aop[[#This Row],[Id]], T_Aop[], ID_Jezik +10, 1)</f>
        <v>232, dio 238</v>
      </c>
      <c r="F57" t="str">
        <f>REPT( "  ", T_Aop[[#This Row],[Aop nivo]]) &amp; VLOOKUP( T_Aop[[#This Row],[Id]], T_Aop[], ID_Jezik + 6, 1)</f>
        <v xml:space="preserve">        c) Kratkoročni krediti u inostranstvu</v>
      </c>
      <c r="G57" s="287" t="s">
        <v>1076</v>
      </c>
      <c r="H57" s="280" t="s">
        <v>1585</v>
      </c>
      <c r="I57" s="287" t="s">
        <v>1732</v>
      </c>
      <c r="J57" s="369" t="s">
        <v>2013</v>
      </c>
      <c r="K57" s="368" t="s">
        <v>836</v>
      </c>
      <c r="L57" s="267" t="s">
        <v>809</v>
      </c>
      <c r="M57" s="288" t="s">
        <v>993</v>
      </c>
      <c r="N57" s="265" t="s">
        <v>2284</v>
      </c>
      <c r="O57" s="10"/>
      <c r="P57" s="10"/>
    </row>
    <row r="58" spans="1:16" x14ac:dyDescent="0.2">
      <c r="A58">
        <f t="shared" si="0"/>
        <v>57</v>
      </c>
      <c r="B58" t="s">
        <v>771</v>
      </c>
      <c r="C58">
        <v>4</v>
      </c>
      <c r="D58" s="226">
        <v>57</v>
      </c>
      <c r="E58" s="2" t="str">
        <f>VLOOKUP( T_Aop[[#This Row],[Id]], T_Aop[], ID_Jezik +10, 1)</f>
        <v>233, dio 238</v>
      </c>
      <c r="F58" t="str">
        <f>REPT( "  ", T_Aop[[#This Row],[Aop nivo]]) &amp; VLOOKUP( T_Aop[[#This Row],[Id]], T_Aop[], ID_Jezik + 6, 1)</f>
        <v xml:space="preserve">        d) Ostala finansijska sredstva po amortizovanoj vrijednosti</v>
      </c>
      <c r="G58" s="287" t="s">
        <v>1077</v>
      </c>
      <c r="H58" s="279" t="s">
        <v>1583</v>
      </c>
      <c r="I58" s="287" t="s">
        <v>1733</v>
      </c>
      <c r="J58" s="369" t="s">
        <v>2014</v>
      </c>
      <c r="K58" s="368" t="s">
        <v>837</v>
      </c>
      <c r="L58" s="267" t="s">
        <v>810</v>
      </c>
      <c r="M58" s="288" t="s">
        <v>994</v>
      </c>
      <c r="N58" s="265" t="s">
        <v>2285</v>
      </c>
      <c r="O58" s="10"/>
      <c r="P58" s="10"/>
    </row>
    <row r="59" spans="1:16" ht="12.75" customHeight="1" x14ac:dyDescent="0.2">
      <c r="A59">
        <f t="shared" si="0"/>
        <v>58</v>
      </c>
      <c r="B59" t="s">
        <v>771</v>
      </c>
      <c r="C59">
        <v>3</v>
      </c>
      <c r="D59" s="226">
        <v>58</v>
      </c>
      <c r="E59" s="2" t="str">
        <f>VLOOKUP( T_Aop[[#This Row],[Id]], T_Aop[], ID_Jezik +10, 1)</f>
        <v>235 i 236</v>
      </c>
      <c r="F59" t="str">
        <f>REPT( "  ", T_Aop[[#This Row],[Aop nivo]]) &amp; VLOOKUP( T_Aop[[#This Row],[Id]], T_Aop[], ID_Jezik + 6, 1)</f>
        <v xml:space="preserve">      2.2. Finansijska sredstva po fer vrijednosti kroz bilans uspjeha</v>
      </c>
      <c r="G59" s="287" t="s">
        <v>2774</v>
      </c>
      <c r="H59" s="280" t="s">
        <v>2775</v>
      </c>
      <c r="I59" s="287" t="s">
        <v>1734</v>
      </c>
      <c r="J59" s="369" t="s">
        <v>2814</v>
      </c>
      <c r="K59" s="368" t="s">
        <v>2728</v>
      </c>
      <c r="L59" s="267" t="s">
        <v>811</v>
      </c>
      <c r="M59" s="288" t="s">
        <v>2729</v>
      </c>
      <c r="N59" s="265" t="s">
        <v>811</v>
      </c>
      <c r="O59" s="10"/>
      <c r="P59" s="10"/>
    </row>
    <row r="60" spans="1:16" x14ac:dyDescent="0.2">
      <c r="A60">
        <f t="shared" si="0"/>
        <v>59</v>
      </c>
      <c r="B60" t="s">
        <v>771</v>
      </c>
      <c r="C60">
        <v>3</v>
      </c>
      <c r="D60" s="226">
        <v>59</v>
      </c>
      <c r="E60" s="2" t="str">
        <f>VLOOKUP( T_Aop[[#This Row],[Id]], T_Aop[], ID_Jezik +10, 1)</f>
        <v>234, 239</v>
      </c>
      <c r="F60" t="str">
        <f>REPT( "  ", T_Aop[[#This Row],[Aop nivo]]) &amp; VLOOKUP( T_Aop[[#This Row],[Id]], T_Aop[], ID_Jezik + 6, 1)</f>
        <v xml:space="preserve">      2.3. Potraživanje po finansijskom lizingu</v>
      </c>
      <c r="G60" s="287" t="s">
        <v>2688</v>
      </c>
      <c r="H60" s="279" t="s">
        <v>1742</v>
      </c>
      <c r="I60" s="287" t="s">
        <v>1735</v>
      </c>
      <c r="J60" s="369" t="s">
        <v>2815</v>
      </c>
      <c r="K60" s="368" t="s">
        <v>812</v>
      </c>
      <c r="L60" s="267" t="s">
        <v>812</v>
      </c>
      <c r="M60" s="288" t="s">
        <v>812</v>
      </c>
      <c r="N60" s="265" t="s">
        <v>812</v>
      </c>
      <c r="O60" s="10"/>
      <c r="P60" s="10"/>
    </row>
    <row r="61" spans="1:16" x14ac:dyDescent="0.2">
      <c r="A61">
        <f t="shared" si="0"/>
        <v>60</v>
      </c>
      <c r="B61" t="s">
        <v>771</v>
      </c>
      <c r="C61">
        <v>3</v>
      </c>
      <c r="D61" s="226">
        <v>60</v>
      </c>
      <c r="E61" s="2">
        <f>VLOOKUP( T_Aop[[#This Row],[Id]], T_Aop[], ID_Jezik +10, 1)</f>
        <v>214</v>
      </c>
      <c r="F61" t="str">
        <f>REPT( "  ", T_Aop[[#This Row],[Aop nivo]]) &amp; VLOOKUP( T_Aop[[#This Row],[Id]], T_Aop[], ID_Jezik + 6, 1)</f>
        <v xml:space="preserve">      2.4. Derivatna finansijska sredstva</v>
      </c>
      <c r="G61" s="287" t="s">
        <v>851</v>
      </c>
      <c r="H61" s="280" t="s">
        <v>1743</v>
      </c>
      <c r="I61" s="287" t="s">
        <v>1736</v>
      </c>
      <c r="J61" s="369" t="s">
        <v>2816</v>
      </c>
      <c r="K61" s="368">
        <v>214</v>
      </c>
      <c r="L61" s="267">
        <v>214</v>
      </c>
      <c r="M61" s="288">
        <v>214</v>
      </c>
      <c r="N61" s="265">
        <v>214</v>
      </c>
      <c r="O61" s="10"/>
      <c r="P61" s="10"/>
    </row>
    <row r="62" spans="1:16" x14ac:dyDescent="0.2">
      <c r="A62">
        <f t="shared" si="0"/>
        <v>61</v>
      </c>
      <c r="B62" t="s">
        <v>771</v>
      </c>
      <c r="C62">
        <v>2</v>
      </c>
      <c r="D62" s="226">
        <v>61</v>
      </c>
      <c r="E62" s="2">
        <f>VLOOKUP( T_Aop[[#This Row],[Id]], T_Aop[], ID_Jezik +10, 1)</f>
        <v>24</v>
      </c>
      <c r="F62" t="str">
        <f>REPT( "  ", T_Aop[[#This Row],[Aop nivo]]) &amp; VLOOKUP( T_Aop[[#This Row],[Id]], T_Aop[], ID_Jezik + 6, 1)</f>
        <v xml:space="preserve">    3. Gotovinski ekvivalenti i gotovina (062 + 063)</v>
      </c>
      <c r="G62" s="287" t="s">
        <v>852</v>
      </c>
      <c r="H62" s="279" t="s">
        <v>1745</v>
      </c>
      <c r="I62" s="287" t="s">
        <v>1737</v>
      </c>
      <c r="J62" s="369" t="s">
        <v>2015</v>
      </c>
      <c r="K62" s="368">
        <v>24</v>
      </c>
      <c r="L62" s="267">
        <v>24</v>
      </c>
      <c r="M62" s="288">
        <v>24</v>
      </c>
      <c r="N62" s="265">
        <v>24</v>
      </c>
      <c r="O62" s="10">
        <v>1</v>
      </c>
      <c r="P62" s="10"/>
    </row>
    <row r="63" spans="1:16" x14ac:dyDescent="0.2">
      <c r="A63">
        <f t="shared" si="0"/>
        <v>62</v>
      </c>
      <c r="B63" t="s">
        <v>771</v>
      </c>
      <c r="C63">
        <v>3</v>
      </c>
      <c r="D63" s="226">
        <v>62</v>
      </c>
      <c r="E63" s="2" t="str">
        <f>VLOOKUP( T_Aop[[#This Row],[Id]], T_Aop[], ID_Jezik +10, 1)</f>
        <v>240, dio 249</v>
      </c>
      <c r="F63" t="str">
        <f>REPT( "  ", T_Aop[[#This Row],[Aop nivo]]) &amp; VLOOKUP( T_Aop[[#This Row],[Id]], T_Aop[], ID_Jezik + 6, 1)</f>
        <v xml:space="preserve">      3.1. Gotovinski ekvivalenti </v>
      </c>
      <c r="G63" s="287" t="s">
        <v>853</v>
      </c>
      <c r="H63" s="280" t="s">
        <v>1744</v>
      </c>
      <c r="I63" s="287" t="s">
        <v>1738</v>
      </c>
      <c r="J63" s="369" t="s">
        <v>2817</v>
      </c>
      <c r="K63" s="368" t="s">
        <v>838</v>
      </c>
      <c r="L63" s="267" t="s">
        <v>813</v>
      </c>
      <c r="M63" s="288" t="s">
        <v>995</v>
      </c>
      <c r="N63" s="255" t="s">
        <v>2286</v>
      </c>
      <c r="O63" s="10"/>
      <c r="P63" s="10"/>
    </row>
    <row r="64" spans="1:16" x14ac:dyDescent="0.2">
      <c r="A64">
        <f t="shared" si="0"/>
        <v>63</v>
      </c>
      <c r="B64" t="s">
        <v>771</v>
      </c>
      <c r="C64">
        <v>3</v>
      </c>
      <c r="D64" s="226">
        <v>63</v>
      </c>
      <c r="E64" s="2" t="str">
        <f>VLOOKUP( T_Aop[[#This Row],[Id]], T_Aop[], ID_Jezik +10, 1)</f>
        <v>241 do 249</v>
      </c>
      <c r="F64" t="str">
        <f>REPT( "  ", T_Aop[[#This Row],[Aop nivo]]) &amp; VLOOKUP( T_Aop[[#This Row],[Id]], T_Aop[], ID_Jezik + 6, 1)</f>
        <v xml:space="preserve">      3.2. Gotovina</v>
      </c>
      <c r="G64" s="287" t="s">
        <v>854</v>
      </c>
      <c r="H64" s="279" t="s">
        <v>1746</v>
      </c>
      <c r="I64" s="287" t="s">
        <v>1739</v>
      </c>
      <c r="J64" s="369" t="s">
        <v>2818</v>
      </c>
      <c r="K64" s="370" t="s">
        <v>89</v>
      </c>
      <c r="L64" s="267" t="s">
        <v>638</v>
      </c>
      <c r="M64" s="288" t="s">
        <v>7</v>
      </c>
      <c r="N64" s="265" t="s">
        <v>638</v>
      </c>
      <c r="O64" s="10"/>
      <c r="P64" s="10"/>
    </row>
    <row r="65" spans="1:16" x14ac:dyDescent="0.2">
      <c r="A65">
        <f t="shared" si="0"/>
        <v>64</v>
      </c>
      <c r="B65" t="s">
        <v>771</v>
      </c>
      <c r="C65">
        <v>2</v>
      </c>
      <c r="D65" s="226">
        <v>64</v>
      </c>
      <c r="E65" s="2" t="str">
        <f>VLOOKUP( T_Aop[[#This Row],[Id]], T_Aop[], ID_Jezik +10, 1)</f>
        <v>270 do 279</v>
      </c>
      <c r="F65" t="str">
        <f>REPT( "  ", T_Aop[[#This Row],[Aop nivo]]) &amp; VLOOKUP( T_Aop[[#This Row],[Id]], T_Aop[], ID_Jezik + 6, 1)</f>
        <v xml:space="preserve">    4. Porez na dodatu vrijednost</v>
      </c>
      <c r="G65" s="287" t="s">
        <v>92</v>
      </c>
      <c r="H65" s="280" t="s">
        <v>1747</v>
      </c>
      <c r="I65" s="287" t="s">
        <v>1740</v>
      </c>
      <c r="J65" s="369" t="s">
        <v>2016</v>
      </c>
      <c r="K65" s="371" t="s">
        <v>8</v>
      </c>
      <c r="L65" s="267" t="s">
        <v>814</v>
      </c>
      <c r="M65" s="288" t="s">
        <v>9</v>
      </c>
      <c r="N65" s="265" t="s">
        <v>2287</v>
      </c>
      <c r="O65" s="10"/>
      <c r="P65" s="10"/>
    </row>
    <row r="66" spans="1:16" x14ac:dyDescent="0.2">
      <c r="A66">
        <f t="shared" ref="A66:A129" si="1">ROW()-ROW($A$1)</f>
        <v>65</v>
      </c>
      <c r="B66" t="s">
        <v>771</v>
      </c>
      <c r="C66">
        <v>2</v>
      </c>
      <c r="D66" s="226">
        <v>65</v>
      </c>
      <c r="E66" s="2" t="str">
        <f>VLOOKUP( T_Aop[[#This Row],[Id]], T_Aop[], ID_Jezik +10, 1)</f>
        <v>280 do 289</v>
      </c>
      <c r="F66" t="str">
        <f>REPT( "  ", T_Aop[[#This Row],[Aop nivo]]) &amp; VLOOKUP( T_Aop[[#This Row],[Id]], T_Aop[], ID_Jezik + 6, 1)</f>
        <v xml:space="preserve">    5. Kratkoročna  razgraničenja</v>
      </c>
      <c r="G66" s="287" t="s">
        <v>855</v>
      </c>
      <c r="H66" s="279" t="s">
        <v>1748</v>
      </c>
      <c r="I66" s="287" t="s">
        <v>1741</v>
      </c>
      <c r="J66" s="369" t="s">
        <v>2017</v>
      </c>
      <c r="K66" s="371" t="s">
        <v>839</v>
      </c>
      <c r="L66" s="267" t="s">
        <v>815</v>
      </c>
      <c r="M66" s="288" t="s">
        <v>996</v>
      </c>
      <c r="N66" s="231" t="s">
        <v>815</v>
      </c>
      <c r="O66" s="10"/>
      <c r="P66" s="10"/>
    </row>
    <row r="67" spans="1:16" ht="13.5" thickBot="1" x14ac:dyDescent="0.25">
      <c r="A67">
        <f t="shared" si="1"/>
        <v>66</v>
      </c>
      <c r="B67" t="s">
        <v>771</v>
      </c>
      <c r="C67">
        <v>1</v>
      </c>
      <c r="D67" s="226">
        <v>66</v>
      </c>
      <c r="E67" s="2">
        <f>VLOOKUP( T_Aop[[#This Row],[Id]], T_Aop[], ID_Jezik +10, 1)</f>
        <v>0</v>
      </c>
      <c r="F67" t="str">
        <f>REPT( "  ", T_Aop[[#This Row],[Aop nivo]]) &amp; VLOOKUP( T_Aop[[#This Row],[Id]], T_Aop[], ID_Jezik + 6, 1)</f>
        <v xml:space="preserve">  G. BILANSNA AKTIVA (001 + 035 + 036)</v>
      </c>
      <c r="G67" s="287" t="s">
        <v>856</v>
      </c>
      <c r="H67" s="287" t="s">
        <v>1012</v>
      </c>
      <c r="I67" s="287" t="s">
        <v>1002</v>
      </c>
      <c r="J67" s="369" t="s">
        <v>2018</v>
      </c>
      <c r="K67" s="372">
        <v>0</v>
      </c>
      <c r="L67" s="269"/>
      <c r="M67" s="288"/>
      <c r="N67" s="289"/>
      <c r="O67" s="10">
        <v>1</v>
      </c>
      <c r="P67" s="10"/>
    </row>
    <row r="68" spans="1:16" ht="13.5" thickBot="1" x14ac:dyDescent="0.25">
      <c r="A68">
        <f t="shared" si="1"/>
        <v>67</v>
      </c>
      <c r="B68" t="s">
        <v>771</v>
      </c>
      <c r="C68">
        <v>1</v>
      </c>
      <c r="D68" s="226">
        <v>67</v>
      </c>
      <c r="E68" s="2" t="str">
        <f>VLOOKUP( T_Aop[[#This Row],[Id]], T_Aop[], ID_Jezik +10, 1)</f>
        <v>880 do 888</v>
      </c>
      <c r="F68" s="222" t="str">
        <f>REPT( "  ", T_Aop[[#This Row],[Aop nivo]]) &amp; VLOOKUP( T_Aop[[#This Row],[Id]], T_Aop[], ID_Jezik + 6, 1)</f>
        <v xml:space="preserve">  D. VANBILANSNA AKTIVA</v>
      </c>
      <c r="G68" s="287" t="s">
        <v>857</v>
      </c>
      <c r="H68" s="287" t="s">
        <v>1013</v>
      </c>
      <c r="I68" s="287" t="s">
        <v>1003</v>
      </c>
      <c r="J68" s="369" t="s">
        <v>2019</v>
      </c>
      <c r="K68" s="373" t="s">
        <v>2558</v>
      </c>
      <c r="L68" s="269" t="s">
        <v>639</v>
      </c>
      <c r="M68" s="288" t="s">
        <v>2559</v>
      </c>
      <c r="N68" s="255" t="s">
        <v>639</v>
      </c>
      <c r="O68" s="10">
        <v>1</v>
      </c>
      <c r="P68" s="10"/>
    </row>
    <row r="69" spans="1:16" ht="30" customHeight="1" x14ac:dyDescent="0.2">
      <c r="A69">
        <f t="shared" si="1"/>
        <v>68</v>
      </c>
      <c r="B69" t="s">
        <v>770</v>
      </c>
      <c r="C69">
        <v>1</v>
      </c>
      <c r="D69" s="226">
        <v>101</v>
      </c>
      <c r="E69" s="2">
        <f>VLOOKUP( T_Aop[[#This Row],[Id]], T_Aop[], ID_Jezik +10, 1)</f>
        <v>0</v>
      </c>
      <c r="F69" t="str">
        <f>REPT( "  ", T_Aop[[#This Row],[Aop nivo]]) &amp; VLOOKUP( T_Aop[[#This Row],[Id]], T_Aop[], ID_Jezik + 6, 1)</f>
        <v xml:space="preserve">  BILANSNA PASIVA
A. KAPITAL  (102 -110 + 113 - 114 + 115 + 119 + 122 - 123 + 124 - 128 + 131)</v>
      </c>
      <c r="G69" s="279" t="s">
        <v>2202</v>
      </c>
      <c r="H69" s="287" t="s">
        <v>865</v>
      </c>
      <c r="I69" s="286" t="s">
        <v>1122</v>
      </c>
      <c r="J69" s="353" t="s">
        <v>2020</v>
      </c>
      <c r="K69" s="291"/>
      <c r="L69" s="291"/>
      <c r="M69" s="291"/>
      <c r="N69" s="289"/>
      <c r="O69" s="10">
        <v>1</v>
      </c>
      <c r="P69" s="10"/>
    </row>
    <row r="70" spans="1:16" ht="16.5" customHeight="1" x14ac:dyDescent="0.2">
      <c r="A70">
        <f t="shared" si="1"/>
        <v>69</v>
      </c>
      <c r="B70" t="s">
        <v>770</v>
      </c>
      <c r="C70">
        <v>1</v>
      </c>
      <c r="D70" s="226">
        <v>102</v>
      </c>
      <c r="E70" s="2">
        <f>VLOOKUP( T_Aop[[#This Row],[Id]], T_Aop[], ID_Jezik +10, 1)</f>
        <v>30</v>
      </c>
      <c r="F70" t="str">
        <f>REPT( "  ", T_Aop[[#This Row],[Aop nivo]]) &amp; VLOOKUP( T_Aop[[#This Row],[Id]], T_Aop[], ID_Jezik + 6, 1)</f>
        <v xml:space="preserve">  I OSNOVNI KAPITAL (103 + 106 + 107 + 108 + 109)</v>
      </c>
      <c r="G70" s="287" t="s">
        <v>1127</v>
      </c>
      <c r="H70" s="287" t="s">
        <v>1128</v>
      </c>
      <c r="I70" s="290" t="s">
        <v>2719</v>
      </c>
      <c r="J70" s="369" t="s">
        <v>2021</v>
      </c>
      <c r="K70" s="374">
        <v>30</v>
      </c>
      <c r="L70" s="270">
        <v>30</v>
      </c>
      <c r="M70" s="292" t="s">
        <v>2888</v>
      </c>
      <c r="N70" s="255">
        <v>30</v>
      </c>
      <c r="O70" s="10">
        <v>1</v>
      </c>
      <c r="P70" s="10"/>
    </row>
    <row r="71" spans="1:16" ht="16.5" customHeight="1" x14ac:dyDescent="0.2">
      <c r="A71">
        <f t="shared" si="1"/>
        <v>70</v>
      </c>
      <c r="B71" t="s">
        <v>770</v>
      </c>
      <c r="C71">
        <v>2</v>
      </c>
      <c r="D71" s="226">
        <v>103</v>
      </c>
      <c r="E71" s="2">
        <f>VLOOKUP( T_Aop[[#This Row],[Id]], T_Aop[], ID_Jezik +10, 1)</f>
        <v>300</v>
      </c>
      <c r="F71" t="str">
        <f>REPT( "  ", T_Aop[[#This Row],[Aop nivo]]) &amp; VLOOKUP( T_Aop[[#This Row],[Id]], T_Aop[], ID_Jezik + 6, 1)</f>
        <v xml:space="preserve">    1. Akcijski kapital (104 + 105)</v>
      </c>
      <c r="G71" s="287" t="s">
        <v>1078</v>
      </c>
      <c r="H71" s="287" t="s">
        <v>866</v>
      </c>
      <c r="I71" s="290" t="s">
        <v>2560</v>
      </c>
      <c r="J71" s="369" t="s">
        <v>2022</v>
      </c>
      <c r="K71" s="375">
        <v>300</v>
      </c>
      <c r="L71" s="274">
        <v>300</v>
      </c>
      <c r="M71" s="292">
        <v>300</v>
      </c>
      <c r="N71" s="255">
        <v>300</v>
      </c>
      <c r="O71" s="10">
        <v>1</v>
      </c>
      <c r="P71" s="10"/>
    </row>
    <row r="72" spans="1:16" ht="12" customHeight="1" x14ac:dyDescent="0.2">
      <c r="A72">
        <f t="shared" si="1"/>
        <v>71</v>
      </c>
      <c r="B72" t="s">
        <v>770</v>
      </c>
      <c r="C72">
        <v>3</v>
      </c>
      <c r="D72" s="226">
        <v>104</v>
      </c>
      <c r="E72" s="2">
        <f>VLOOKUP( T_Aop[[#This Row],[Id]], T_Aop[], ID_Jezik +10, 1)</f>
        <v>0</v>
      </c>
      <c r="F72" t="str">
        <f>REPT( "  ", T_Aop[[#This Row],[Aop nivo]]) &amp; VLOOKUP( T_Aop[[#This Row],[Id]], T_Aop[], ID_Jezik + 6, 1)</f>
        <v xml:space="preserve">      1.1. Akcijski kapital - obične akcije </v>
      </c>
      <c r="G72" s="287" t="s">
        <v>1079</v>
      </c>
      <c r="H72" s="287" t="s">
        <v>867</v>
      </c>
      <c r="I72" s="290" t="s">
        <v>1749</v>
      </c>
      <c r="J72" s="369" t="s">
        <v>2503</v>
      </c>
      <c r="K72" s="375"/>
      <c r="L72" s="274"/>
      <c r="M72" s="292"/>
      <c r="N72" s="255"/>
      <c r="O72" s="10"/>
      <c r="P72" s="10"/>
    </row>
    <row r="73" spans="1:16" ht="14.25" customHeight="1" x14ac:dyDescent="0.2">
      <c r="A73">
        <f t="shared" si="1"/>
        <v>72</v>
      </c>
      <c r="B73" t="s">
        <v>770</v>
      </c>
      <c r="C73">
        <v>3</v>
      </c>
      <c r="D73" s="226">
        <v>105</v>
      </c>
      <c r="E73" s="2">
        <f>VLOOKUP( T_Aop[[#This Row],[Id]], T_Aop[], ID_Jezik +10, 1)</f>
        <v>0</v>
      </c>
      <c r="F73" t="str">
        <f>REPT( "  ", T_Aop[[#This Row],[Aop nivo]]) &amp; VLOOKUP( T_Aop[[#This Row],[Id]], T_Aop[], ID_Jezik + 6, 1)</f>
        <v xml:space="preserve">      1.2. Akcijski kapital – povlašćene (prioritetne) akcije</v>
      </c>
      <c r="G73" s="287" t="s">
        <v>1080</v>
      </c>
      <c r="H73" s="287" t="s">
        <v>868</v>
      </c>
      <c r="I73" s="290" t="s">
        <v>1750</v>
      </c>
      <c r="J73" s="369" t="s">
        <v>2504</v>
      </c>
      <c r="K73" s="375"/>
      <c r="L73" s="274"/>
      <c r="M73" s="292"/>
      <c r="N73" s="255"/>
      <c r="O73" s="10"/>
      <c r="P73" s="10"/>
    </row>
    <row r="74" spans="1:16" ht="14.25" customHeight="1" x14ac:dyDescent="0.2">
      <c r="A74">
        <f t="shared" si="1"/>
        <v>73</v>
      </c>
      <c r="B74" t="s">
        <v>770</v>
      </c>
      <c r="C74">
        <v>2</v>
      </c>
      <c r="D74" s="226">
        <v>106</v>
      </c>
      <c r="E74" s="2">
        <f>VLOOKUP( T_Aop[[#This Row],[Id]], T_Aop[], ID_Jezik +10, 1)</f>
        <v>302</v>
      </c>
      <c r="F74" t="str">
        <f>REPT( "  ", T_Aop[[#This Row],[Aop nivo]]) &amp; VLOOKUP( T_Aop[[#This Row],[Id]], T_Aop[], ID_Jezik + 6, 1)</f>
        <v xml:space="preserve">    2. Udjeli društva sa ograničenom odgovornošću</v>
      </c>
      <c r="G74" s="287" t="s">
        <v>101</v>
      </c>
      <c r="H74" s="287" t="s">
        <v>500</v>
      </c>
      <c r="I74" s="290" t="s">
        <v>1751</v>
      </c>
      <c r="J74" s="369" t="s">
        <v>2023</v>
      </c>
      <c r="K74" s="375">
        <v>302</v>
      </c>
      <c r="L74" s="274">
        <v>302</v>
      </c>
      <c r="M74" s="292">
        <v>302</v>
      </c>
      <c r="N74" s="255">
        <v>302</v>
      </c>
      <c r="O74" s="10"/>
      <c r="P74" s="10"/>
    </row>
    <row r="75" spans="1:16" ht="14.25" customHeight="1" x14ac:dyDescent="0.2">
      <c r="A75">
        <f t="shared" si="1"/>
        <v>74</v>
      </c>
      <c r="B75" t="s">
        <v>770</v>
      </c>
      <c r="C75">
        <v>2</v>
      </c>
      <c r="D75" s="226">
        <v>107</v>
      </c>
      <c r="E75" s="2">
        <f>VLOOKUP( T_Aop[[#This Row],[Id]], T_Aop[], ID_Jezik +10, 1)</f>
        <v>304</v>
      </c>
      <c r="F75" t="str">
        <f>REPT( "  ", T_Aop[[#This Row],[Aop nivo]]) &amp; VLOOKUP( T_Aop[[#This Row],[Id]], T_Aop[], ID_Jezik + 6, 1)</f>
        <v xml:space="preserve">    3. Ulozi</v>
      </c>
      <c r="G75" s="287" t="s">
        <v>2198</v>
      </c>
      <c r="H75" s="287" t="s">
        <v>2200</v>
      </c>
      <c r="I75" s="290" t="s">
        <v>1752</v>
      </c>
      <c r="J75" s="369" t="s">
        <v>2024</v>
      </c>
      <c r="K75" s="375">
        <v>304</v>
      </c>
      <c r="L75" s="274">
        <v>304</v>
      </c>
      <c r="M75" s="292">
        <v>304</v>
      </c>
      <c r="N75" s="255">
        <v>304</v>
      </c>
      <c r="O75" s="10"/>
      <c r="P75" s="10"/>
    </row>
    <row r="76" spans="1:16" ht="14.25" customHeight="1" x14ac:dyDescent="0.2">
      <c r="A76">
        <f t="shared" si="1"/>
        <v>75</v>
      </c>
      <c r="B76" t="s">
        <v>770</v>
      </c>
      <c r="C76">
        <v>2</v>
      </c>
      <c r="D76" s="226">
        <v>108</v>
      </c>
      <c r="E76" s="2">
        <f>VLOOKUP( T_Aop[[#This Row],[Id]], T_Aop[], ID_Jezik +10, 1)</f>
        <v>305</v>
      </c>
      <c r="F76" t="str">
        <f>REPT( "  ", T_Aop[[#This Row],[Aop nivo]]) &amp; VLOOKUP( T_Aop[[#This Row],[Id]], T_Aop[], ID_Jezik + 6, 1)</f>
        <v xml:space="preserve">    4. Državni kapital</v>
      </c>
      <c r="G76" s="287" t="s">
        <v>2199</v>
      </c>
      <c r="H76" s="287" t="s">
        <v>2201</v>
      </c>
      <c r="I76" s="290" t="s">
        <v>1753</v>
      </c>
      <c r="J76" s="369" t="s">
        <v>2025</v>
      </c>
      <c r="K76" s="375">
        <v>305</v>
      </c>
      <c r="L76" s="274">
        <v>305</v>
      </c>
      <c r="M76" s="292">
        <v>305</v>
      </c>
      <c r="N76" s="255">
        <v>305</v>
      </c>
      <c r="O76" s="10"/>
      <c r="P76" s="10"/>
    </row>
    <row r="77" spans="1:16" ht="14.25" customHeight="1" x14ac:dyDescent="0.2">
      <c r="A77">
        <f t="shared" si="1"/>
        <v>76</v>
      </c>
      <c r="B77" t="s">
        <v>770</v>
      </c>
      <c r="C77">
        <v>2</v>
      </c>
      <c r="D77" s="226">
        <v>109</v>
      </c>
      <c r="E77" s="2" t="str">
        <f>VLOOKUP( T_Aop[[#This Row],[Id]], T_Aop[], ID_Jezik +10, 1)</f>
        <v>309</v>
      </c>
      <c r="F77" t="str">
        <f>REPT( "  ", T_Aop[[#This Row],[Aop nivo]]) &amp; VLOOKUP( T_Aop[[#This Row],[Id]], T_Aop[], ID_Jezik + 6, 1)</f>
        <v xml:space="preserve">    5. Ostali osnovni kapital</v>
      </c>
      <c r="G77" s="287" t="s">
        <v>1081</v>
      </c>
      <c r="H77" s="287" t="s">
        <v>869</v>
      </c>
      <c r="I77" s="290" t="s">
        <v>1754</v>
      </c>
      <c r="J77" s="369" t="s">
        <v>2026</v>
      </c>
      <c r="K77" s="375" t="s">
        <v>756</v>
      </c>
      <c r="L77" s="249" t="s">
        <v>756</v>
      </c>
      <c r="M77" s="249" t="s">
        <v>756</v>
      </c>
      <c r="N77" s="249"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0" t="s">
        <v>2771</v>
      </c>
      <c r="H78" s="287" t="s">
        <v>2207</v>
      </c>
      <c r="I78" s="290" t="s">
        <v>2561</v>
      </c>
      <c r="J78" s="369" t="s">
        <v>2027</v>
      </c>
      <c r="K78" s="376">
        <v>31</v>
      </c>
      <c r="L78" s="271">
        <v>31</v>
      </c>
      <c r="M78" s="292">
        <v>31</v>
      </c>
      <c r="N78" s="255">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7" t="s">
        <v>1082</v>
      </c>
      <c r="H79" s="287" t="s">
        <v>870</v>
      </c>
      <c r="I79" s="290" t="s">
        <v>1755</v>
      </c>
      <c r="J79" s="369" t="s">
        <v>2028</v>
      </c>
      <c r="K79" s="375">
        <v>310</v>
      </c>
      <c r="L79" s="274">
        <v>310</v>
      </c>
      <c r="M79" s="292">
        <v>310</v>
      </c>
      <c r="N79" s="255">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7" t="s">
        <v>1083</v>
      </c>
      <c r="H80" s="287" t="s">
        <v>871</v>
      </c>
      <c r="I80" s="290" t="s">
        <v>1756</v>
      </c>
      <c r="J80" s="369" t="s">
        <v>2029</v>
      </c>
      <c r="K80" s="375">
        <v>311</v>
      </c>
      <c r="L80" s="274">
        <v>311</v>
      </c>
      <c r="M80" s="292">
        <v>311</v>
      </c>
      <c r="N80" s="255">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0" t="s">
        <v>1084</v>
      </c>
      <c r="H81" s="287" t="s">
        <v>872</v>
      </c>
      <c r="I81" s="290" t="s">
        <v>1757</v>
      </c>
      <c r="J81" s="369" t="s">
        <v>2030</v>
      </c>
      <c r="K81" s="375">
        <v>320</v>
      </c>
      <c r="L81" s="274">
        <v>320</v>
      </c>
      <c r="M81" s="292">
        <v>320</v>
      </c>
      <c r="N81" s="255">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0" t="s">
        <v>2770</v>
      </c>
      <c r="H82" s="287" t="s">
        <v>2714</v>
      </c>
      <c r="I82" s="290" t="s">
        <v>1758</v>
      </c>
      <c r="J82" s="369" t="s">
        <v>2031</v>
      </c>
      <c r="K82" s="375">
        <v>321</v>
      </c>
      <c r="L82" s="274">
        <v>321</v>
      </c>
      <c r="M82" s="292">
        <v>321</v>
      </c>
      <c r="N82" s="255">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0" t="s">
        <v>2713</v>
      </c>
      <c r="H83" s="287" t="s">
        <v>2715</v>
      </c>
      <c r="I83" s="290" t="s">
        <v>2716</v>
      </c>
      <c r="J83" s="369" t="s">
        <v>2032</v>
      </c>
      <c r="K83" s="376" t="s">
        <v>97</v>
      </c>
      <c r="L83" s="271" t="s">
        <v>640</v>
      </c>
      <c r="M83" s="292" t="s">
        <v>41</v>
      </c>
      <c r="N83" s="255"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7" t="s">
        <v>73</v>
      </c>
      <c r="H84" s="287" t="s">
        <v>501</v>
      </c>
      <c r="I84" s="290" t="s">
        <v>2689</v>
      </c>
      <c r="J84" s="369" t="s">
        <v>2505</v>
      </c>
      <c r="K84" s="375">
        <v>322</v>
      </c>
      <c r="L84" s="274">
        <v>322</v>
      </c>
      <c r="M84" s="292">
        <v>322</v>
      </c>
      <c r="N84" s="255">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7" t="s">
        <v>93</v>
      </c>
      <c r="H85" s="287" t="s">
        <v>502</v>
      </c>
      <c r="I85" s="290" t="s">
        <v>2691</v>
      </c>
      <c r="J85" s="369" t="s">
        <v>2506</v>
      </c>
      <c r="K85" s="375">
        <v>323</v>
      </c>
      <c r="L85" s="274">
        <v>323</v>
      </c>
      <c r="M85" s="292">
        <v>323</v>
      </c>
      <c r="N85" s="255">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7" t="s">
        <v>503</v>
      </c>
      <c r="H86" s="287" t="s">
        <v>504</v>
      </c>
      <c r="I86" s="290" t="s">
        <v>2690</v>
      </c>
      <c r="J86" s="369" t="s">
        <v>2507</v>
      </c>
      <c r="K86" s="375">
        <v>329</v>
      </c>
      <c r="L86" s="274">
        <v>329</v>
      </c>
      <c r="M86" s="292">
        <v>329</v>
      </c>
      <c r="N86" s="255">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0" t="s">
        <v>1085</v>
      </c>
      <c r="H87" s="287" t="s">
        <v>873</v>
      </c>
      <c r="I87" s="290" t="s">
        <v>2718</v>
      </c>
      <c r="J87" s="369" t="s">
        <v>2033</v>
      </c>
      <c r="K87" s="376" t="s">
        <v>1817</v>
      </c>
      <c r="L87" s="271" t="s">
        <v>915</v>
      </c>
      <c r="M87" s="292" t="s">
        <v>1806</v>
      </c>
      <c r="N87" s="255"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7" t="s">
        <v>1086</v>
      </c>
      <c r="H88" s="287" t="s">
        <v>874</v>
      </c>
      <c r="I88" s="290" t="s">
        <v>1759</v>
      </c>
      <c r="J88" s="369" t="s">
        <v>2034</v>
      </c>
      <c r="K88" s="376">
        <v>330</v>
      </c>
      <c r="L88" s="271">
        <v>330</v>
      </c>
      <c r="M88" s="292">
        <v>330</v>
      </c>
      <c r="N88" s="255">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7" t="s">
        <v>1087</v>
      </c>
      <c r="H89" s="287" t="s">
        <v>875</v>
      </c>
      <c r="I89" s="290" t="s">
        <v>1760</v>
      </c>
      <c r="J89" s="369" t="s">
        <v>2035</v>
      </c>
      <c r="K89" s="376" t="s">
        <v>1826</v>
      </c>
      <c r="L89" s="271" t="s">
        <v>916</v>
      </c>
      <c r="M89" s="292" t="s">
        <v>1807</v>
      </c>
      <c r="N89" s="255"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0" t="s">
        <v>2693</v>
      </c>
      <c r="H90" s="287" t="s">
        <v>2692</v>
      </c>
      <c r="I90" s="290" t="s">
        <v>1761</v>
      </c>
      <c r="J90" s="369" t="s">
        <v>2036</v>
      </c>
      <c r="K90" s="376">
        <v>332</v>
      </c>
      <c r="L90" s="271">
        <v>332</v>
      </c>
      <c r="M90" s="272">
        <v>332</v>
      </c>
      <c r="N90" s="255">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0" t="s">
        <v>1649</v>
      </c>
      <c r="H91" s="287" t="s">
        <v>876</v>
      </c>
      <c r="I91" s="290" t="s">
        <v>1762</v>
      </c>
      <c r="J91" s="369" t="s">
        <v>2037</v>
      </c>
      <c r="K91" s="374">
        <v>333</v>
      </c>
      <c r="L91" s="270">
        <v>333</v>
      </c>
      <c r="M91" s="273">
        <v>333</v>
      </c>
      <c r="N91" s="255">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7" t="s">
        <v>2712</v>
      </c>
      <c r="H92" s="287" t="s">
        <v>2720</v>
      </c>
      <c r="I92" s="290" t="s">
        <v>2717</v>
      </c>
      <c r="J92" s="369" t="s">
        <v>2038</v>
      </c>
      <c r="K92" s="376">
        <v>34</v>
      </c>
      <c r="L92" s="271">
        <v>34</v>
      </c>
      <c r="M92" s="272">
        <v>34</v>
      </c>
      <c r="N92" s="255">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7" t="s">
        <v>1088</v>
      </c>
      <c r="H93" s="287" t="s">
        <v>877</v>
      </c>
      <c r="I93" s="290" t="s">
        <v>1763</v>
      </c>
      <c r="J93" s="369" t="s">
        <v>2039</v>
      </c>
      <c r="K93" s="375" t="s">
        <v>728</v>
      </c>
      <c r="L93" s="274" t="s">
        <v>1818</v>
      </c>
      <c r="M93" s="292" t="s">
        <v>729</v>
      </c>
      <c r="N93" s="255"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7" t="s">
        <v>2734</v>
      </c>
      <c r="H94" s="287" t="s">
        <v>2735</v>
      </c>
      <c r="I94" s="290" t="s">
        <v>1764</v>
      </c>
      <c r="J94" s="369" t="s">
        <v>2508</v>
      </c>
      <c r="K94" s="375" t="s">
        <v>730</v>
      </c>
      <c r="L94" s="274" t="s">
        <v>1819</v>
      </c>
      <c r="M94" s="292" t="s">
        <v>731</v>
      </c>
      <c r="N94" s="255"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7" t="s">
        <v>726</v>
      </c>
      <c r="H95" s="287" t="s">
        <v>727</v>
      </c>
      <c r="I95" s="290" t="s">
        <v>1765</v>
      </c>
      <c r="J95" s="369" t="s">
        <v>2040</v>
      </c>
      <c r="K95" s="375">
        <v>344</v>
      </c>
      <c r="L95" s="274">
        <v>344</v>
      </c>
      <c r="M95" s="292">
        <v>344</v>
      </c>
      <c r="N95" s="255">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7" t="s">
        <v>2723</v>
      </c>
      <c r="H96" s="287" t="s">
        <v>2721</v>
      </c>
      <c r="I96" s="290" t="s">
        <v>2722</v>
      </c>
      <c r="J96" s="369" t="s">
        <v>2041</v>
      </c>
      <c r="K96" s="376" t="s">
        <v>757</v>
      </c>
      <c r="L96" s="271" t="s">
        <v>757</v>
      </c>
      <c r="M96" s="292" t="s">
        <v>757</v>
      </c>
      <c r="N96" s="255">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7" t="s">
        <v>1089</v>
      </c>
      <c r="H97" s="287" t="s">
        <v>878</v>
      </c>
      <c r="I97" s="290" t="s">
        <v>1766</v>
      </c>
      <c r="J97" s="369" t="s">
        <v>2042</v>
      </c>
      <c r="K97" s="375" t="s">
        <v>1827</v>
      </c>
      <c r="L97" s="274" t="s">
        <v>917</v>
      </c>
      <c r="M97" s="292" t="s">
        <v>1808</v>
      </c>
      <c r="N97" s="255"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7" t="s">
        <v>1090</v>
      </c>
      <c r="H98" s="287" t="s">
        <v>879</v>
      </c>
      <c r="I98" s="290" t="s">
        <v>1767</v>
      </c>
      <c r="J98" s="369" t="s">
        <v>2043</v>
      </c>
      <c r="K98" s="375" t="s">
        <v>1828</v>
      </c>
      <c r="L98" s="274" t="s">
        <v>918</v>
      </c>
      <c r="M98" s="292" t="s">
        <v>1809</v>
      </c>
      <c r="N98" s="255"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0" t="s">
        <v>1091</v>
      </c>
      <c r="H99" s="287" t="s">
        <v>880</v>
      </c>
      <c r="I99" s="290" t="s">
        <v>1768</v>
      </c>
      <c r="J99" s="369" t="s">
        <v>2044</v>
      </c>
      <c r="K99" s="376" t="s">
        <v>786</v>
      </c>
      <c r="L99" s="271" t="s">
        <v>786</v>
      </c>
      <c r="M99" s="292" t="s">
        <v>786</v>
      </c>
      <c r="N99" s="255"/>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0" t="s">
        <v>1645</v>
      </c>
      <c r="H100" s="287" t="s">
        <v>881</v>
      </c>
      <c r="I100" s="290" t="s">
        <v>1769</v>
      </c>
      <c r="J100" s="369" t="s">
        <v>2045</v>
      </c>
      <c r="K100" s="375" t="s">
        <v>786</v>
      </c>
      <c r="L100" s="274" t="s">
        <v>786</v>
      </c>
      <c r="M100" s="292" t="s">
        <v>786</v>
      </c>
      <c r="N100" s="255"/>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0" t="s">
        <v>1646</v>
      </c>
      <c r="H101" s="287" t="s">
        <v>882</v>
      </c>
      <c r="I101" s="290" t="s">
        <v>1770</v>
      </c>
      <c r="J101" s="369" t="s">
        <v>2509</v>
      </c>
      <c r="K101" s="375" t="s">
        <v>1820</v>
      </c>
      <c r="L101" s="274" t="s">
        <v>919</v>
      </c>
      <c r="M101" s="292" t="s">
        <v>1810</v>
      </c>
      <c r="N101" s="255"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7" t="s">
        <v>94</v>
      </c>
      <c r="H102" s="287" t="s">
        <v>505</v>
      </c>
      <c r="I102" s="290" t="s">
        <v>1771</v>
      </c>
      <c r="J102" s="369" t="s">
        <v>2046</v>
      </c>
      <c r="K102" s="375">
        <v>400</v>
      </c>
      <c r="L102" s="274">
        <v>400</v>
      </c>
      <c r="M102" s="292">
        <v>400</v>
      </c>
      <c r="N102" s="255">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7" t="s">
        <v>1092</v>
      </c>
      <c r="H103" s="287" t="s">
        <v>883</v>
      </c>
      <c r="I103" s="290" t="s">
        <v>1772</v>
      </c>
      <c r="J103" s="369" t="s">
        <v>2047</v>
      </c>
      <c r="K103" s="375">
        <v>404</v>
      </c>
      <c r="L103" s="274">
        <v>404</v>
      </c>
      <c r="M103" s="292">
        <v>404</v>
      </c>
      <c r="N103" s="255">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7" t="s">
        <v>1093</v>
      </c>
      <c r="H104" s="287" t="s">
        <v>884</v>
      </c>
      <c r="I104" s="290" t="s">
        <v>1773</v>
      </c>
      <c r="J104" s="369" t="s">
        <v>2048</v>
      </c>
      <c r="K104" s="375" t="s">
        <v>1821</v>
      </c>
      <c r="L104" s="274" t="s">
        <v>920</v>
      </c>
      <c r="M104" s="292" t="s">
        <v>1811</v>
      </c>
      <c r="N104" s="255"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7" t="s">
        <v>1094</v>
      </c>
      <c r="H105" s="287" t="s">
        <v>885</v>
      </c>
      <c r="I105" s="290" t="s">
        <v>1774</v>
      </c>
      <c r="J105" s="369" t="s">
        <v>2510</v>
      </c>
      <c r="K105" s="375" t="s">
        <v>786</v>
      </c>
      <c r="L105" s="274" t="s">
        <v>786</v>
      </c>
      <c r="M105" s="292" t="s">
        <v>786</v>
      </c>
      <c r="N105" s="255"/>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7" t="s">
        <v>1095</v>
      </c>
      <c r="H106" s="287" t="s">
        <v>886</v>
      </c>
      <c r="I106" s="290" t="s">
        <v>1775</v>
      </c>
      <c r="J106" s="369" t="s">
        <v>2830</v>
      </c>
      <c r="K106" s="375">
        <v>411</v>
      </c>
      <c r="L106" s="274">
        <v>411</v>
      </c>
      <c r="M106" s="292">
        <v>411</v>
      </c>
      <c r="N106" s="255">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7" t="s">
        <v>1096</v>
      </c>
      <c r="H107" s="287" t="s">
        <v>887</v>
      </c>
      <c r="I107" s="290" t="s">
        <v>1776</v>
      </c>
      <c r="J107" s="369" t="s">
        <v>2831</v>
      </c>
      <c r="K107" s="375">
        <v>413</v>
      </c>
      <c r="L107" s="274">
        <v>413</v>
      </c>
      <c r="M107" s="292">
        <v>413</v>
      </c>
      <c r="N107" s="255">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7" t="s">
        <v>1097</v>
      </c>
      <c r="H108" s="287" t="s">
        <v>888</v>
      </c>
      <c r="I108" s="290" t="s">
        <v>1777</v>
      </c>
      <c r="J108" s="369" t="s">
        <v>2832</v>
      </c>
      <c r="K108" s="375">
        <v>414</v>
      </c>
      <c r="L108" s="274">
        <v>414</v>
      </c>
      <c r="M108" s="292">
        <v>414</v>
      </c>
      <c r="N108" s="255">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7" t="s">
        <v>1098</v>
      </c>
      <c r="H109" s="287" t="s">
        <v>889</v>
      </c>
      <c r="I109" s="290" t="s">
        <v>1778</v>
      </c>
      <c r="J109" s="369" t="s">
        <v>2833</v>
      </c>
      <c r="K109" s="375">
        <v>412</v>
      </c>
      <c r="L109" s="274">
        <v>412</v>
      </c>
      <c r="M109" s="292">
        <v>412</v>
      </c>
      <c r="N109" s="255">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7" t="s">
        <v>1099</v>
      </c>
      <c r="H110" s="287" t="s">
        <v>890</v>
      </c>
      <c r="I110" s="290" t="s">
        <v>1779</v>
      </c>
      <c r="J110" s="369" t="s">
        <v>2834</v>
      </c>
      <c r="K110" s="375" t="s">
        <v>641</v>
      </c>
      <c r="L110" s="274" t="s">
        <v>641</v>
      </c>
      <c r="M110" s="292" t="s">
        <v>641</v>
      </c>
      <c r="N110" s="255"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7" t="s">
        <v>1100</v>
      </c>
      <c r="H111" s="287" t="s">
        <v>891</v>
      </c>
      <c r="I111" s="290" t="s">
        <v>1780</v>
      </c>
      <c r="J111" s="369" t="s">
        <v>2835</v>
      </c>
      <c r="K111" s="375" t="s">
        <v>1829</v>
      </c>
      <c r="L111" s="274">
        <v>418</v>
      </c>
      <c r="M111" s="292">
        <v>418</v>
      </c>
      <c r="N111" s="255">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7" t="s">
        <v>1101</v>
      </c>
      <c r="H112" s="287" t="s">
        <v>892</v>
      </c>
      <c r="I112" s="290" t="s">
        <v>2776</v>
      </c>
      <c r="J112" s="369" t="s">
        <v>2777</v>
      </c>
      <c r="K112" s="375" t="s">
        <v>1822</v>
      </c>
      <c r="L112" s="274" t="s">
        <v>921</v>
      </c>
      <c r="M112" s="292" t="s">
        <v>1812</v>
      </c>
      <c r="N112" s="255"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0" t="s">
        <v>1648</v>
      </c>
      <c r="H113" s="287" t="s">
        <v>893</v>
      </c>
      <c r="I113" s="290" t="s">
        <v>1781</v>
      </c>
      <c r="J113" s="369" t="s">
        <v>2049</v>
      </c>
      <c r="K113" s="376">
        <v>408</v>
      </c>
      <c r="L113" s="271">
        <v>408</v>
      </c>
      <c r="M113" s="292">
        <v>408</v>
      </c>
      <c r="N113" s="255">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0" t="s">
        <v>1102</v>
      </c>
      <c r="H114" s="287" t="s">
        <v>894</v>
      </c>
      <c r="I114" s="290" t="s">
        <v>1782</v>
      </c>
      <c r="J114" s="369" t="s">
        <v>2050</v>
      </c>
      <c r="K114" s="377">
        <v>407</v>
      </c>
      <c r="L114" s="275">
        <v>407</v>
      </c>
      <c r="M114" s="293">
        <v>407</v>
      </c>
      <c r="N114" s="292">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0" t="s">
        <v>1647</v>
      </c>
      <c r="H115" s="287" t="s">
        <v>895</v>
      </c>
      <c r="I115" s="290" t="s">
        <v>1783</v>
      </c>
      <c r="J115" s="369" t="s">
        <v>2051</v>
      </c>
      <c r="K115" s="375" t="s">
        <v>642</v>
      </c>
      <c r="L115" s="274" t="s">
        <v>643</v>
      </c>
      <c r="M115" s="292" t="s">
        <v>644</v>
      </c>
      <c r="N115" s="292"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7" t="s">
        <v>1103</v>
      </c>
      <c r="H116" s="287" t="s">
        <v>896</v>
      </c>
      <c r="I116" s="290" t="s">
        <v>1784</v>
      </c>
      <c r="J116" s="369" t="s">
        <v>2052</v>
      </c>
      <c r="K116" s="375">
        <v>42</v>
      </c>
      <c r="L116" s="274">
        <v>42</v>
      </c>
      <c r="M116" s="292">
        <v>42</v>
      </c>
      <c r="N116" s="292">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7" t="s">
        <v>1104</v>
      </c>
      <c r="H117" s="287" t="s">
        <v>897</v>
      </c>
      <c r="I117" s="290" t="s">
        <v>1785</v>
      </c>
      <c r="J117" s="369" t="s">
        <v>2823</v>
      </c>
      <c r="K117" s="375">
        <v>420</v>
      </c>
      <c r="L117" s="274">
        <v>420</v>
      </c>
      <c r="M117" s="292">
        <v>420</v>
      </c>
      <c r="N117" s="292">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7" t="s">
        <v>1105</v>
      </c>
      <c r="H118" s="287" t="s">
        <v>898</v>
      </c>
      <c r="I118" s="290" t="s">
        <v>1786</v>
      </c>
      <c r="J118" s="369" t="s">
        <v>2824</v>
      </c>
      <c r="K118" s="375" t="s">
        <v>1823</v>
      </c>
      <c r="L118" s="274" t="s">
        <v>922</v>
      </c>
      <c r="M118" s="292" t="s">
        <v>1813</v>
      </c>
      <c r="N118" s="292"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7" t="s">
        <v>1106</v>
      </c>
      <c r="H119" s="287" t="s">
        <v>899</v>
      </c>
      <c r="I119" s="290" t="s">
        <v>1787</v>
      </c>
      <c r="J119" s="369" t="s">
        <v>2822</v>
      </c>
      <c r="K119" s="375" t="s">
        <v>1824</v>
      </c>
      <c r="L119" s="274" t="s">
        <v>923</v>
      </c>
      <c r="M119" s="292" t="s">
        <v>1814</v>
      </c>
      <c r="N119" s="292"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7" t="s">
        <v>1107</v>
      </c>
      <c r="H120" s="287" t="s">
        <v>900</v>
      </c>
      <c r="I120" s="290" t="s">
        <v>1788</v>
      </c>
      <c r="J120" s="369" t="s">
        <v>2819</v>
      </c>
      <c r="K120" s="375">
        <v>427</v>
      </c>
      <c r="L120" s="274">
        <v>427</v>
      </c>
      <c r="M120" s="292">
        <v>427</v>
      </c>
      <c r="N120" s="292">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7" t="s">
        <v>1108</v>
      </c>
      <c r="H121" s="287" t="s">
        <v>901</v>
      </c>
      <c r="I121" s="290" t="s">
        <v>1789</v>
      </c>
      <c r="J121" s="369" t="s">
        <v>2820</v>
      </c>
      <c r="K121" s="375">
        <v>428</v>
      </c>
      <c r="L121" s="274">
        <v>428</v>
      </c>
      <c r="M121" s="292">
        <v>428</v>
      </c>
      <c r="N121" s="292">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7" t="s">
        <v>1109</v>
      </c>
      <c r="H122" s="287" t="s">
        <v>902</v>
      </c>
      <c r="I122" s="290" t="s">
        <v>1790</v>
      </c>
      <c r="J122" s="369" t="s">
        <v>2821</v>
      </c>
      <c r="K122" s="375">
        <v>429</v>
      </c>
      <c r="L122" s="274">
        <v>429</v>
      </c>
      <c r="M122" s="292">
        <v>429</v>
      </c>
      <c r="N122" s="292">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7" t="s">
        <v>1110</v>
      </c>
      <c r="H123" s="287" t="s">
        <v>903</v>
      </c>
      <c r="I123" s="290" t="s">
        <v>1791</v>
      </c>
      <c r="J123" s="369" t="s">
        <v>2053</v>
      </c>
      <c r="K123" s="375">
        <v>43</v>
      </c>
      <c r="L123" s="274">
        <v>43</v>
      </c>
      <c r="M123" s="292">
        <v>43</v>
      </c>
      <c r="N123" s="292">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7" t="s">
        <v>1111</v>
      </c>
      <c r="H124" s="287" t="s">
        <v>904</v>
      </c>
      <c r="I124" s="290" t="s">
        <v>1792</v>
      </c>
      <c r="J124" s="369" t="s">
        <v>2829</v>
      </c>
      <c r="K124" s="375" t="s">
        <v>1830</v>
      </c>
      <c r="L124" s="274" t="s">
        <v>924</v>
      </c>
      <c r="M124" s="292" t="s">
        <v>1815</v>
      </c>
      <c r="N124" s="292"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7" t="s">
        <v>1112</v>
      </c>
      <c r="H125" s="287" t="s">
        <v>905</v>
      </c>
      <c r="I125" s="290" t="s">
        <v>1793</v>
      </c>
      <c r="J125" s="369" t="s">
        <v>2828</v>
      </c>
      <c r="K125" s="375">
        <v>431</v>
      </c>
      <c r="L125" s="274">
        <v>431</v>
      </c>
      <c r="M125" s="292">
        <v>431</v>
      </c>
      <c r="N125" s="292">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7" t="s">
        <v>1113</v>
      </c>
      <c r="H126" s="287" t="s">
        <v>906</v>
      </c>
      <c r="I126" s="290" t="s">
        <v>1794</v>
      </c>
      <c r="J126" s="369" t="s">
        <v>2827</v>
      </c>
      <c r="K126" s="375" t="s">
        <v>645</v>
      </c>
      <c r="L126" s="274" t="s">
        <v>645</v>
      </c>
      <c r="M126" s="292" t="s">
        <v>645</v>
      </c>
      <c r="N126" s="292"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7" t="s">
        <v>1114</v>
      </c>
      <c r="H127" s="287" t="s">
        <v>907</v>
      </c>
      <c r="I127" s="290" t="s">
        <v>1795</v>
      </c>
      <c r="J127" s="369" t="s">
        <v>2826</v>
      </c>
      <c r="K127" s="375">
        <v>435</v>
      </c>
      <c r="L127" s="274">
        <v>435</v>
      </c>
      <c r="M127" s="292">
        <v>435</v>
      </c>
      <c r="N127" s="292">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7" t="s">
        <v>1115</v>
      </c>
      <c r="H128" s="287" t="s">
        <v>908</v>
      </c>
      <c r="I128" s="290" t="s">
        <v>1796</v>
      </c>
      <c r="J128" s="369" t="s">
        <v>2825</v>
      </c>
      <c r="K128" s="375" t="s">
        <v>925</v>
      </c>
      <c r="L128" s="274" t="s">
        <v>925</v>
      </c>
      <c r="M128" s="292" t="s">
        <v>925</v>
      </c>
      <c r="N128" s="292"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7" t="s">
        <v>0</v>
      </c>
      <c r="H129" s="287" t="s">
        <v>506</v>
      </c>
      <c r="I129" s="290" t="s">
        <v>1797</v>
      </c>
      <c r="J129" s="369" t="s">
        <v>2054</v>
      </c>
      <c r="K129" s="375" t="s">
        <v>98</v>
      </c>
      <c r="L129" s="274" t="s">
        <v>646</v>
      </c>
      <c r="M129" s="292" t="s">
        <v>10</v>
      </c>
      <c r="N129" s="292"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7" t="s">
        <v>2204</v>
      </c>
      <c r="H130" s="287" t="s">
        <v>2205</v>
      </c>
      <c r="I130" s="290" t="s">
        <v>1798</v>
      </c>
      <c r="J130" s="369" t="s">
        <v>2055</v>
      </c>
      <c r="K130" s="375" t="s">
        <v>99</v>
      </c>
      <c r="L130" s="274" t="s">
        <v>647</v>
      </c>
      <c r="M130" s="292" t="s">
        <v>11</v>
      </c>
      <c r="N130" s="292"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7" t="s">
        <v>1116</v>
      </c>
      <c r="H131" s="287" t="s">
        <v>909</v>
      </c>
      <c r="I131" s="290" t="s">
        <v>1799</v>
      </c>
      <c r="J131" s="369" t="s">
        <v>2056</v>
      </c>
      <c r="K131" s="375" t="s">
        <v>2889</v>
      </c>
      <c r="L131" s="274" t="s">
        <v>2294</v>
      </c>
      <c r="M131" s="292" t="s">
        <v>2890</v>
      </c>
      <c r="N131" s="292"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7" t="s">
        <v>95</v>
      </c>
      <c r="H132" s="287" t="s">
        <v>507</v>
      </c>
      <c r="I132" s="290" t="s">
        <v>1800</v>
      </c>
      <c r="J132" s="369" t="s">
        <v>2057</v>
      </c>
      <c r="K132" s="375" t="s">
        <v>100</v>
      </c>
      <c r="L132" s="274" t="s">
        <v>648</v>
      </c>
      <c r="M132" s="292" t="s">
        <v>12</v>
      </c>
      <c r="N132" s="292"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7" t="s">
        <v>96</v>
      </c>
      <c r="H133" s="287" t="s">
        <v>508</v>
      </c>
      <c r="I133" s="290" t="s">
        <v>1801</v>
      </c>
      <c r="J133" s="369" t="s">
        <v>2058</v>
      </c>
      <c r="K133" s="375" t="s">
        <v>649</v>
      </c>
      <c r="L133" s="274" t="s">
        <v>650</v>
      </c>
      <c r="M133" s="292" t="s">
        <v>651</v>
      </c>
      <c r="N133" s="292" t="s">
        <v>2295</v>
      </c>
      <c r="O133" s="10">
        <v>1</v>
      </c>
      <c r="P133" s="10"/>
    </row>
    <row r="134" spans="1:16" s="354" customFormat="1" ht="13.5" customHeight="1" x14ac:dyDescent="0.2">
      <c r="A134" s="338">
        <f t="shared" si="2"/>
        <v>133</v>
      </c>
      <c r="B134" s="338" t="s">
        <v>770</v>
      </c>
      <c r="C134" s="338">
        <v>2</v>
      </c>
      <c r="D134" s="339">
        <v>166</v>
      </c>
      <c r="E134" s="340">
        <f>VLOOKUP( T_Aop[[#This Row],[Id]], T_Aop[], ID_Jezik +10, 1)</f>
        <v>481</v>
      </c>
      <c r="F134" s="338" t="str">
        <f>REPT( "  ", T_Aop[[#This Row],[Aop nivo]]) &amp; VLOOKUP( T_Aop[[#This Row],[Id]], T_Aop[], ID_Jezik + 6, 1)</f>
        <v xml:space="preserve">    8. Obaveze za porez na dobit</v>
      </c>
      <c r="G134" s="311" t="s">
        <v>1117</v>
      </c>
      <c r="H134" s="311" t="s">
        <v>910</v>
      </c>
      <c r="I134" s="341" t="s">
        <v>1802</v>
      </c>
      <c r="J134" s="378" t="s">
        <v>2059</v>
      </c>
      <c r="K134" s="375">
        <v>481</v>
      </c>
      <c r="L134" s="274">
        <v>481</v>
      </c>
      <c r="M134" s="292">
        <v>481</v>
      </c>
      <c r="N134" s="292">
        <v>481</v>
      </c>
      <c r="O134" s="343">
        <v>1</v>
      </c>
      <c r="P134" s="343"/>
    </row>
    <row r="135" spans="1:16" ht="13.5" customHeight="1" x14ac:dyDescent="0.2">
      <c r="A135">
        <f t="shared" si="2"/>
        <v>134</v>
      </c>
      <c r="B135" t="s">
        <v>770</v>
      </c>
      <c r="C135">
        <v>2</v>
      </c>
      <c r="D135" s="339">
        <v>167</v>
      </c>
      <c r="E135" s="340" t="str">
        <f>VLOOKUP( T_Aop[[#This Row],[Id]], T_Aop[], ID_Jezik +10, 1)</f>
        <v>49, osim 496</v>
      </c>
      <c r="F135" s="338" t="str">
        <f>REPT( "  ", T_Aop[[#This Row],[Aop nivo]]) &amp; VLOOKUP( T_Aop[[#This Row],[Id]], T_Aop[], ID_Jezik + 6, 1)</f>
        <v xml:space="preserve">    9. Kratkoročna razgraničenja</v>
      </c>
      <c r="G135" s="287" t="s">
        <v>1118</v>
      </c>
      <c r="H135" s="287" t="s">
        <v>911</v>
      </c>
      <c r="I135" s="290" t="s">
        <v>1803</v>
      </c>
      <c r="J135" s="369" t="s">
        <v>2060</v>
      </c>
      <c r="K135" s="292" t="s">
        <v>1825</v>
      </c>
      <c r="L135" s="292" t="s">
        <v>926</v>
      </c>
      <c r="M135" s="292" t="s">
        <v>1816</v>
      </c>
      <c r="N135" s="292"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7" t="s">
        <v>1119</v>
      </c>
      <c r="H136" s="287" t="s">
        <v>912</v>
      </c>
      <c r="I136" s="290" t="s">
        <v>1804</v>
      </c>
      <c r="J136" s="369" t="s">
        <v>2061</v>
      </c>
      <c r="K136" s="292">
        <v>496</v>
      </c>
      <c r="L136" s="292">
        <v>496</v>
      </c>
      <c r="M136" s="292">
        <v>496</v>
      </c>
      <c r="N136" s="292">
        <v>496</v>
      </c>
      <c r="O136" s="10"/>
      <c r="P136" s="10"/>
    </row>
    <row r="137" spans="1:16" ht="13.5" customHeight="1" x14ac:dyDescent="0.2">
      <c r="A137">
        <f t="shared" si="2"/>
        <v>136</v>
      </c>
      <c r="B137" t="s">
        <v>770</v>
      </c>
      <c r="D137" s="55"/>
      <c r="E137" s="2"/>
      <c r="F137" t="str">
        <f>REPT( "  ", T_Aop[[#This Row],[Aop nivo]]) &amp; VLOOKUP( T_Aop[[#This Row],[Id]], T_Aop[], ID_Jezik + 6, 1)</f>
        <v/>
      </c>
      <c r="I137" s="290"/>
      <c r="J137" s="297"/>
      <c r="K137" s="292"/>
      <c r="L137" s="292"/>
      <c r="M137" s="292"/>
      <c r="N137" s="292"/>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0" t="s">
        <v>1120</v>
      </c>
      <c r="H138" s="287" t="s">
        <v>913</v>
      </c>
      <c r="I138" s="290" t="s">
        <v>1805</v>
      </c>
      <c r="J138" s="369" t="s">
        <v>2062</v>
      </c>
      <c r="K138" s="292"/>
      <c r="L138" s="292"/>
      <c r="M138" s="292"/>
      <c r="N138" s="292"/>
      <c r="O138" s="10"/>
      <c r="P138" s="10"/>
    </row>
    <row r="139" spans="1:16" ht="13.5" customHeight="1" x14ac:dyDescent="0.2">
      <c r="A139">
        <f t="shared" si="2"/>
        <v>138</v>
      </c>
      <c r="B139" s="257" t="s">
        <v>770</v>
      </c>
      <c r="C139" s="257">
        <v>1</v>
      </c>
      <c r="D139" s="366">
        <v>170</v>
      </c>
      <c r="E139" s="2" t="str">
        <f>VLOOKUP( T_Aop[[#This Row],[Id]], T_Aop[], ID_Jezik +10, 1)</f>
        <v>890 do 898</v>
      </c>
      <c r="F139" t="str">
        <f>REPT( "  ", T_Aop[[#This Row],[Aop nivo]]) &amp; VLOOKUP( T_Aop[[#This Row],[Id]], T_Aop[], ID_Jezik + 6, 1)</f>
        <v xml:space="preserve">  Đ. VANBILANSNA PASIVA</v>
      </c>
      <c r="G139" s="280" t="s">
        <v>1121</v>
      </c>
      <c r="H139" s="287" t="s">
        <v>914</v>
      </c>
      <c r="I139" s="290" t="s">
        <v>20</v>
      </c>
      <c r="J139" s="369" t="s">
        <v>2063</v>
      </c>
      <c r="K139" s="292" t="s">
        <v>2562</v>
      </c>
      <c r="L139" s="292" t="s">
        <v>2297</v>
      </c>
      <c r="M139" s="292" t="s">
        <v>13</v>
      </c>
      <c r="N139" s="292"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79" t="s">
        <v>2762</v>
      </c>
      <c r="H140" s="287" t="s">
        <v>927</v>
      </c>
      <c r="I140" s="286" t="s">
        <v>1831</v>
      </c>
      <c r="J140" s="369" t="s">
        <v>2218</v>
      </c>
      <c r="K140" s="375">
        <v>0</v>
      </c>
      <c r="L140" s="274"/>
      <c r="M140" s="292"/>
      <c r="N140" s="292"/>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7" t="s">
        <v>66</v>
      </c>
      <c r="H141" s="287" t="s">
        <v>1129</v>
      </c>
      <c r="I141" s="294" t="s">
        <v>2778</v>
      </c>
      <c r="J141" s="369" t="s">
        <v>2511</v>
      </c>
      <c r="K141" s="375">
        <v>60</v>
      </c>
      <c r="L141" s="274">
        <v>60</v>
      </c>
      <c r="M141" s="292">
        <v>60</v>
      </c>
      <c r="N141" s="292">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7" t="s">
        <v>2206</v>
      </c>
      <c r="H142" s="287" t="s">
        <v>2694</v>
      </c>
      <c r="I142" s="294" t="s">
        <v>42</v>
      </c>
      <c r="J142" s="369" t="s">
        <v>2064</v>
      </c>
      <c r="K142" s="375" t="s">
        <v>1247</v>
      </c>
      <c r="L142" s="274" t="s">
        <v>1132</v>
      </c>
      <c r="M142" s="292" t="s">
        <v>1923</v>
      </c>
      <c r="N142" s="292"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7" t="s">
        <v>67</v>
      </c>
      <c r="H143" s="287" t="s">
        <v>509</v>
      </c>
      <c r="I143" s="294" t="s">
        <v>53</v>
      </c>
      <c r="J143" s="369" t="s">
        <v>2065</v>
      </c>
      <c r="K143" s="375" t="s">
        <v>1248</v>
      </c>
      <c r="L143" s="274" t="s">
        <v>1133</v>
      </c>
      <c r="M143" s="292" t="s">
        <v>1924</v>
      </c>
      <c r="N143" s="292"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7" t="s">
        <v>2695</v>
      </c>
      <c r="H144" s="287" t="s">
        <v>510</v>
      </c>
      <c r="I144" s="294" t="s">
        <v>511</v>
      </c>
      <c r="J144" s="369" t="s">
        <v>2066</v>
      </c>
      <c r="K144" s="375" t="s">
        <v>1249</v>
      </c>
      <c r="L144" s="274" t="s">
        <v>1134</v>
      </c>
      <c r="M144" s="292" t="s">
        <v>1922</v>
      </c>
      <c r="N144" s="292"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7" t="s">
        <v>1175</v>
      </c>
      <c r="H145" s="287" t="s">
        <v>1130</v>
      </c>
      <c r="I145" s="294" t="s">
        <v>2779</v>
      </c>
      <c r="J145" s="369" t="s">
        <v>2512</v>
      </c>
      <c r="K145" s="375" t="s">
        <v>1250</v>
      </c>
      <c r="L145" s="274">
        <v>61</v>
      </c>
      <c r="M145" s="292">
        <v>61</v>
      </c>
      <c r="N145" s="292">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7" t="s">
        <v>1176</v>
      </c>
      <c r="H146" s="287" t="s">
        <v>928</v>
      </c>
      <c r="I146" s="294" t="s">
        <v>1832</v>
      </c>
      <c r="J146" s="369" t="s">
        <v>2067</v>
      </c>
      <c r="K146" s="375" t="s">
        <v>1251</v>
      </c>
      <c r="L146" s="274" t="s">
        <v>1135</v>
      </c>
      <c r="M146" s="292" t="s">
        <v>1921</v>
      </c>
      <c r="N146" s="292"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7" t="s">
        <v>1177</v>
      </c>
      <c r="H147" s="287" t="s">
        <v>929</v>
      </c>
      <c r="I147" s="294" t="s">
        <v>1833</v>
      </c>
      <c r="J147" s="369" t="s">
        <v>2068</v>
      </c>
      <c r="K147" s="375" t="s">
        <v>2565</v>
      </c>
      <c r="L147" s="274" t="s">
        <v>2564</v>
      </c>
      <c r="M147" s="292" t="s">
        <v>2563</v>
      </c>
      <c r="N147" s="292"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7" t="s">
        <v>2696</v>
      </c>
      <c r="H148" s="287" t="s">
        <v>930</v>
      </c>
      <c r="I148" s="294" t="s">
        <v>1834</v>
      </c>
      <c r="J148" s="369" t="s">
        <v>2069</v>
      </c>
      <c r="K148" s="375" t="s">
        <v>1252</v>
      </c>
      <c r="L148" s="274" t="s">
        <v>1136</v>
      </c>
      <c r="M148" s="292" t="s">
        <v>1920</v>
      </c>
      <c r="N148" s="292"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7" t="s">
        <v>1178</v>
      </c>
      <c r="H149" s="287" t="s">
        <v>1131</v>
      </c>
      <c r="I149" s="294" t="s">
        <v>1835</v>
      </c>
      <c r="J149" s="369" t="s">
        <v>2513</v>
      </c>
      <c r="K149" s="375" t="s">
        <v>1253</v>
      </c>
      <c r="L149" s="274">
        <v>62</v>
      </c>
      <c r="M149" s="292">
        <v>62</v>
      </c>
      <c r="N149" s="292">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7" t="s">
        <v>1179</v>
      </c>
      <c r="H150" s="287" t="s">
        <v>931</v>
      </c>
      <c r="I150" s="294" t="s">
        <v>1836</v>
      </c>
      <c r="J150" s="369" t="s">
        <v>2070</v>
      </c>
      <c r="K150" s="375" t="s">
        <v>1254</v>
      </c>
      <c r="L150" s="274" t="s">
        <v>1137</v>
      </c>
      <c r="M150" s="292" t="s">
        <v>2566</v>
      </c>
      <c r="N150" s="292"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7" t="s">
        <v>1180</v>
      </c>
      <c r="H151" s="287" t="s">
        <v>932</v>
      </c>
      <c r="I151" s="294" t="s">
        <v>1837</v>
      </c>
      <c r="J151" s="369" t="s">
        <v>2071</v>
      </c>
      <c r="K151" s="375" t="s">
        <v>1255</v>
      </c>
      <c r="L151" s="274" t="s">
        <v>1138</v>
      </c>
      <c r="M151" s="292" t="s">
        <v>1919</v>
      </c>
      <c r="N151" s="292"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7" t="s">
        <v>2697</v>
      </c>
      <c r="H152" s="287" t="s">
        <v>933</v>
      </c>
      <c r="I152" s="294" t="s">
        <v>1838</v>
      </c>
      <c r="J152" s="369" t="s">
        <v>2072</v>
      </c>
      <c r="K152" s="375" t="s">
        <v>1256</v>
      </c>
      <c r="L152" s="274" t="s">
        <v>1139</v>
      </c>
      <c r="M152" s="292" t="s">
        <v>2567</v>
      </c>
      <c r="N152" s="292"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7" t="s">
        <v>1214</v>
      </c>
      <c r="H153" s="287" t="s">
        <v>1217</v>
      </c>
      <c r="I153" s="294" t="s">
        <v>1839</v>
      </c>
      <c r="J153" s="369" t="s">
        <v>2836</v>
      </c>
      <c r="K153" s="375" t="s">
        <v>1257</v>
      </c>
      <c r="L153" s="274">
        <v>630</v>
      </c>
      <c r="M153" s="292">
        <v>630</v>
      </c>
      <c r="N153" s="292">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7" t="s">
        <v>1215</v>
      </c>
      <c r="H154" s="287" t="s">
        <v>1216</v>
      </c>
      <c r="I154" s="294" t="s">
        <v>1840</v>
      </c>
      <c r="J154" s="369" t="s">
        <v>2837</v>
      </c>
      <c r="K154" s="375" t="s">
        <v>1258</v>
      </c>
      <c r="L154" s="274">
        <v>631</v>
      </c>
      <c r="M154" s="292">
        <v>631</v>
      </c>
      <c r="N154" s="292">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7" t="s">
        <v>1224</v>
      </c>
      <c r="H155" s="287" t="s">
        <v>1218</v>
      </c>
      <c r="I155" s="294" t="s">
        <v>1841</v>
      </c>
      <c r="J155" s="369" t="s">
        <v>2838</v>
      </c>
      <c r="K155" s="375" t="s">
        <v>1259</v>
      </c>
      <c r="L155" s="274" t="s">
        <v>1140</v>
      </c>
      <c r="M155" s="292" t="s">
        <v>2730</v>
      </c>
      <c r="N155" s="292"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7" t="s">
        <v>1225</v>
      </c>
      <c r="H156" s="287" t="s">
        <v>1219</v>
      </c>
      <c r="I156" s="294" t="s">
        <v>1842</v>
      </c>
      <c r="J156" s="369" t="s">
        <v>2839</v>
      </c>
      <c r="K156" s="375" t="s">
        <v>1260</v>
      </c>
      <c r="L156" s="274" t="s">
        <v>1141</v>
      </c>
      <c r="M156" s="292" t="s">
        <v>2568</v>
      </c>
      <c r="N156" s="292"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7" t="s">
        <v>2</v>
      </c>
      <c r="H157" s="287" t="s">
        <v>512</v>
      </c>
      <c r="I157" s="294" t="s">
        <v>1843</v>
      </c>
      <c r="J157" s="369" t="s">
        <v>2073</v>
      </c>
      <c r="K157" s="375" t="s">
        <v>1</v>
      </c>
      <c r="L157" s="274" t="s">
        <v>652</v>
      </c>
      <c r="M157" s="292" t="s">
        <v>2569</v>
      </c>
      <c r="N157" s="292"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0" t="s">
        <v>1181</v>
      </c>
      <c r="H158" s="287" t="s">
        <v>934</v>
      </c>
      <c r="I158" s="294" t="s">
        <v>2780</v>
      </c>
      <c r="J158" s="369" t="s">
        <v>2074</v>
      </c>
      <c r="K158" s="375"/>
      <c r="L158" s="274"/>
      <c r="M158" s="292"/>
      <c r="N158" s="292"/>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7" t="s">
        <v>1226</v>
      </c>
      <c r="H159" s="287" t="s">
        <v>1220</v>
      </c>
      <c r="I159" s="294" t="s">
        <v>1844</v>
      </c>
      <c r="J159" s="369" t="s">
        <v>2514</v>
      </c>
      <c r="K159" s="375" t="s">
        <v>3</v>
      </c>
      <c r="L159" s="274" t="s">
        <v>653</v>
      </c>
      <c r="M159" s="292" t="s">
        <v>2570</v>
      </c>
      <c r="N159" s="292"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7" t="s">
        <v>1227</v>
      </c>
      <c r="H160" s="287" t="s">
        <v>1221</v>
      </c>
      <c r="I160" s="294" t="s">
        <v>1845</v>
      </c>
      <c r="J160" s="369" t="s">
        <v>2515</v>
      </c>
      <c r="K160" s="375" t="s">
        <v>1261</v>
      </c>
      <c r="L160" s="274" t="s">
        <v>1142</v>
      </c>
      <c r="M160" s="292" t="s">
        <v>2571</v>
      </c>
      <c r="N160" s="292"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7" t="s">
        <v>2698</v>
      </c>
      <c r="H161" s="287" t="s">
        <v>1222</v>
      </c>
      <c r="I161" s="294" t="s">
        <v>1846</v>
      </c>
      <c r="J161" s="369" t="s">
        <v>2516</v>
      </c>
      <c r="K161" s="375" t="s">
        <v>1262</v>
      </c>
      <c r="L161" s="274">
        <v>513</v>
      </c>
      <c r="M161" s="292">
        <v>513</v>
      </c>
      <c r="N161" s="292">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7" t="s">
        <v>1228</v>
      </c>
      <c r="H162" s="287" t="s">
        <v>1223</v>
      </c>
      <c r="I162" s="294" t="s">
        <v>1847</v>
      </c>
      <c r="J162" s="369" t="s">
        <v>2517</v>
      </c>
      <c r="K162" s="375" t="s">
        <v>1263</v>
      </c>
      <c r="L162" s="274">
        <v>52</v>
      </c>
      <c r="M162" s="292">
        <v>52</v>
      </c>
      <c r="N162" s="292">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7" t="s">
        <v>1182</v>
      </c>
      <c r="H163" s="287" t="s">
        <v>935</v>
      </c>
      <c r="I163" s="294" t="s">
        <v>43</v>
      </c>
      <c r="J163" s="369" t="s">
        <v>2075</v>
      </c>
      <c r="K163" s="375" t="s">
        <v>1264</v>
      </c>
      <c r="L163" s="274" t="s">
        <v>1143</v>
      </c>
      <c r="M163" s="292" t="s">
        <v>2731</v>
      </c>
      <c r="N163" s="292"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7" t="s">
        <v>1183</v>
      </c>
      <c r="H164" s="287" t="s">
        <v>936</v>
      </c>
      <c r="I164" s="294" t="s">
        <v>44</v>
      </c>
      <c r="J164" s="369" t="s">
        <v>2076</v>
      </c>
      <c r="K164" s="375" t="s">
        <v>654</v>
      </c>
      <c r="L164" s="274" t="s">
        <v>655</v>
      </c>
      <c r="M164" s="292" t="s">
        <v>2732</v>
      </c>
      <c r="N164" s="292"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7" t="s">
        <v>1229</v>
      </c>
      <c r="H165" s="287" t="s">
        <v>1237</v>
      </c>
      <c r="I165" s="294" t="s">
        <v>1848</v>
      </c>
      <c r="J165" s="369" t="s">
        <v>2518</v>
      </c>
      <c r="K165" s="375" t="s">
        <v>4</v>
      </c>
      <c r="L165" s="274" t="s">
        <v>656</v>
      </c>
      <c r="M165" s="292" t="s">
        <v>2733</v>
      </c>
      <c r="N165" s="292"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7" t="s">
        <v>1230</v>
      </c>
      <c r="H166" s="287" t="s">
        <v>1238</v>
      </c>
      <c r="I166" s="294" t="s">
        <v>1849</v>
      </c>
      <c r="J166" s="369" t="s">
        <v>2519</v>
      </c>
      <c r="K166" s="375" t="s">
        <v>1265</v>
      </c>
      <c r="L166" s="274">
        <v>54</v>
      </c>
      <c r="M166" s="292">
        <v>54</v>
      </c>
      <c r="N166" s="292">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7" t="s">
        <v>1184</v>
      </c>
      <c r="H167" s="287" t="s">
        <v>940</v>
      </c>
      <c r="I167" s="294" t="s">
        <v>2699</v>
      </c>
      <c r="J167" s="369" t="s">
        <v>2520</v>
      </c>
      <c r="K167" s="375" t="s">
        <v>1266</v>
      </c>
      <c r="L167" s="274">
        <v>540</v>
      </c>
      <c r="M167" s="292">
        <v>540</v>
      </c>
      <c r="N167" s="292">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7" t="s">
        <v>1185</v>
      </c>
      <c r="H168" s="287" t="s">
        <v>937</v>
      </c>
      <c r="I168" s="294" t="s">
        <v>1850</v>
      </c>
      <c r="J168" s="369" t="s">
        <v>2077</v>
      </c>
      <c r="K168" s="375" t="s">
        <v>1267</v>
      </c>
      <c r="L168" s="274" t="s">
        <v>1144</v>
      </c>
      <c r="M168" s="292" t="s">
        <v>1916</v>
      </c>
      <c r="N168" s="292"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7" t="s">
        <v>1186</v>
      </c>
      <c r="H169" s="287" t="s">
        <v>941</v>
      </c>
      <c r="I169" s="294" t="s">
        <v>1851</v>
      </c>
      <c r="J169" s="369" t="s">
        <v>2521</v>
      </c>
      <c r="K169" s="375" t="s">
        <v>1267</v>
      </c>
      <c r="L169" s="274" t="s">
        <v>1144</v>
      </c>
      <c r="M169" s="292" t="s">
        <v>1916</v>
      </c>
      <c r="N169" s="292"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7" t="s">
        <v>2700</v>
      </c>
      <c r="H170" s="287" t="s">
        <v>938</v>
      </c>
      <c r="I170" s="294" t="s">
        <v>1852</v>
      </c>
      <c r="J170" s="369" t="s">
        <v>2078</v>
      </c>
      <c r="K170" s="375" t="s">
        <v>1267</v>
      </c>
      <c r="L170" s="274" t="s">
        <v>1144</v>
      </c>
      <c r="M170" s="292" t="s">
        <v>1916</v>
      </c>
      <c r="N170" s="292"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7" t="s">
        <v>2701</v>
      </c>
      <c r="H171" s="287" t="s">
        <v>939</v>
      </c>
      <c r="I171" s="294" t="s">
        <v>1853</v>
      </c>
      <c r="J171" s="369" t="s">
        <v>2079</v>
      </c>
      <c r="K171" s="375" t="s">
        <v>1267</v>
      </c>
      <c r="L171" s="274" t="s">
        <v>1144</v>
      </c>
      <c r="M171" s="292" t="s">
        <v>1916</v>
      </c>
      <c r="N171" s="292"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7" t="s">
        <v>1187</v>
      </c>
      <c r="H172" s="287" t="s">
        <v>942</v>
      </c>
      <c r="I172" s="294" t="s">
        <v>1854</v>
      </c>
      <c r="J172" s="369" t="s">
        <v>2522</v>
      </c>
      <c r="K172" s="375" t="s">
        <v>1268</v>
      </c>
      <c r="L172" s="274">
        <v>541</v>
      </c>
      <c r="M172" s="292">
        <v>541</v>
      </c>
      <c r="N172" s="292">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7" t="s">
        <v>1233</v>
      </c>
      <c r="H173" s="287" t="s">
        <v>1234</v>
      </c>
      <c r="I173" s="294" t="s">
        <v>1855</v>
      </c>
      <c r="J173" s="369" t="s">
        <v>2523</v>
      </c>
      <c r="K173" s="375" t="s">
        <v>1269</v>
      </c>
      <c r="L173" s="274" t="s">
        <v>1145</v>
      </c>
      <c r="M173" s="292" t="s">
        <v>1917</v>
      </c>
      <c r="N173" s="292"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7" t="s">
        <v>1231</v>
      </c>
      <c r="H174" s="287" t="s">
        <v>1235</v>
      </c>
      <c r="I174" s="294" t="s">
        <v>1856</v>
      </c>
      <c r="J174" s="369" t="s">
        <v>2524</v>
      </c>
      <c r="K174" s="375" t="s">
        <v>1270</v>
      </c>
      <c r="L174" s="274">
        <v>555</v>
      </c>
      <c r="M174" s="292">
        <v>555</v>
      </c>
      <c r="N174" s="292">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7" t="s">
        <v>1232</v>
      </c>
      <c r="H175" s="287" t="s">
        <v>1236</v>
      </c>
      <c r="I175" s="294" t="s">
        <v>1857</v>
      </c>
      <c r="J175" s="369" t="s">
        <v>2525</v>
      </c>
      <c r="K175" s="375" t="s">
        <v>1271</v>
      </c>
      <c r="L175" s="274">
        <v>556</v>
      </c>
      <c r="M175" s="292">
        <v>556</v>
      </c>
      <c r="N175" s="292">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0" t="s">
        <v>1188</v>
      </c>
      <c r="H176" s="287" t="s">
        <v>943</v>
      </c>
      <c r="I176" s="294" t="s">
        <v>1858</v>
      </c>
      <c r="J176" s="369" t="s">
        <v>2080</v>
      </c>
      <c r="K176" s="375"/>
      <c r="L176" s="274"/>
      <c r="M176" s="292"/>
      <c r="N176" s="292"/>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0" t="s">
        <v>1189</v>
      </c>
      <c r="H177" s="287" t="s">
        <v>944</v>
      </c>
      <c r="I177" s="294" t="s">
        <v>1859</v>
      </c>
      <c r="J177" s="369" t="s">
        <v>2081</v>
      </c>
      <c r="K177" s="375"/>
      <c r="L177" s="274"/>
      <c r="M177" s="292"/>
      <c r="N177" s="292"/>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79" t="s">
        <v>1190</v>
      </c>
      <c r="H178" s="287" t="s">
        <v>945</v>
      </c>
      <c r="I178" s="294" t="s">
        <v>1860</v>
      </c>
      <c r="J178" s="369" t="s">
        <v>2217</v>
      </c>
      <c r="K178" s="375" t="s">
        <v>1272</v>
      </c>
      <c r="L178" s="274">
        <v>66</v>
      </c>
      <c r="M178" s="292">
        <v>66</v>
      </c>
      <c r="N178" s="292">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7" t="s">
        <v>1191</v>
      </c>
      <c r="H179" s="287" t="s">
        <v>946</v>
      </c>
      <c r="I179" s="294" t="s">
        <v>1861</v>
      </c>
      <c r="J179" s="369" t="s">
        <v>2526</v>
      </c>
      <c r="K179" s="375" t="s">
        <v>1146</v>
      </c>
      <c r="L179" s="274" t="s">
        <v>1146</v>
      </c>
      <c r="M179" s="292" t="s">
        <v>1146</v>
      </c>
      <c r="N179" s="292"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7" t="s">
        <v>1192</v>
      </c>
      <c r="H180" s="287" t="s">
        <v>947</v>
      </c>
      <c r="I180" s="294" t="s">
        <v>1862</v>
      </c>
      <c r="J180" s="369" t="s">
        <v>2527</v>
      </c>
      <c r="K180" s="375" t="s">
        <v>1273</v>
      </c>
      <c r="L180" s="274">
        <v>662</v>
      </c>
      <c r="M180" s="292">
        <v>662</v>
      </c>
      <c r="N180" s="292">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7" t="s">
        <v>1193</v>
      </c>
      <c r="H181" s="287" t="s">
        <v>948</v>
      </c>
      <c r="I181" s="294" t="s">
        <v>1863</v>
      </c>
      <c r="J181" s="369" t="s">
        <v>2528</v>
      </c>
      <c r="K181" s="375" t="s">
        <v>1274</v>
      </c>
      <c r="L181" s="274">
        <v>663</v>
      </c>
      <c r="M181" s="292">
        <v>663</v>
      </c>
      <c r="N181" s="292">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7" t="s">
        <v>1194</v>
      </c>
      <c r="H182" s="287" t="s">
        <v>949</v>
      </c>
      <c r="I182" s="294" t="s">
        <v>1864</v>
      </c>
      <c r="J182" s="369" t="s">
        <v>2529</v>
      </c>
      <c r="K182" s="375" t="s">
        <v>1275</v>
      </c>
      <c r="L182" s="274">
        <v>669</v>
      </c>
      <c r="M182" s="292">
        <v>669</v>
      </c>
      <c r="N182" s="292">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0" t="s">
        <v>1195</v>
      </c>
      <c r="H183" s="287" t="s">
        <v>950</v>
      </c>
      <c r="I183" s="294" t="s">
        <v>2724</v>
      </c>
      <c r="J183" s="369" t="s">
        <v>2082</v>
      </c>
      <c r="K183" s="375" t="s">
        <v>1276</v>
      </c>
      <c r="L183" s="274">
        <v>56</v>
      </c>
      <c r="M183" s="292">
        <v>56</v>
      </c>
      <c r="N183" s="292">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7" t="s">
        <v>1243</v>
      </c>
      <c r="H184" s="287" t="s">
        <v>1239</v>
      </c>
      <c r="I184" s="294" t="s">
        <v>1865</v>
      </c>
      <c r="J184" s="369" t="s">
        <v>2841</v>
      </c>
      <c r="K184" s="375" t="s">
        <v>1147</v>
      </c>
      <c r="L184" s="274" t="s">
        <v>1147</v>
      </c>
      <c r="M184" s="292" t="s">
        <v>1147</v>
      </c>
      <c r="N184" s="292"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7" t="s">
        <v>1244</v>
      </c>
      <c r="H185" s="287" t="s">
        <v>1240</v>
      </c>
      <c r="I185" s="294" t="s">
        <v>1866</v>
      </c>
      <c r="J185" s="369" t="s">
        <v>2840</v>
      </c>
      <c r="K185" s="375" t="s">
        <v>1277</v>
      </c>
      <c r="L185" s="274">
        <v>562</v>
      </c>
      <c r="M185" s="292">
        <v>562</v>
      </c>
      <c r="N185" s="292">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7" t="s">
        <v>1245</v>
      </c>
      <c r="H186" s="287" t="s">
        <v>1241</v>
      </c>
      <c r="I186" s="294" t="s">
        <v>1867</v>
      </c>
      <c r="J186" s="369" t="s">
        <v>2842</v>
      </c>
      <c r="K186" s="375" t="s">
        <v>1278</v>
      </c>
      <c r="L186" s="274">
        <v>563</v>
      </c>
      <c r="M186" s="292">
        <v>563</v>
      </c>
      <c r="N186" s="292">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7" t="s">
        <v>1246</v>
      </c>
      <c r="H187" s="287" t="s">
        <v>1242</v>
      </c>
      <c r="I187" s="294" t="s">
        <v>1868</v>
      </c>
      <c r="J187" s="369" t="s">
        <v>2530</v>
      </c>
      <c r="K187" s="375" t="s">
        <v>1279</v>
      </c>
      <c r="L187" s="274">
        <v>569</v>
      </c>
      <c r="M187" s="292">
        <v>569</v>
      </c>
      <c r="N187" s="292">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0" t="s">
        <v>2224</v>
      </c>
      <c r="H188" s="290" t="s">
        <v>2211</v>
      </c>
      <c r="I188" s="294" t="s">
        <v>2212</v>
      </c>
      <c r="J188" s="369" t="s">
        <v>2083</v>
      </c>
      <c r="K188" s="375"/>
      <c r="L188" s="274"/>
      <c r="M188" s="292"/>
      <c r="N188" s="292"/>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0" t="s">
        <v>2225</v>
      </c>
      <c r="H189" s="290" t="s">
        <v>2210</v>
      </c>
      <c r="I189" s="294" t="s">
        <v>2573</v>
      </c>
      <c r="J189" s="369" t="s">
        <v>2084</v>
      </c>
      <c r="K189" s="375"/>
      <c r="L189" s="274"/>
      <c r="M189" s="292"/>
      <c r="N189" s="292"/>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0" t="s">
        <v>2913</v>
      </c>
      <c r="H190" s="287" t="s">
        <v>2763</v>
      </c>
      <c r="I190" s="294" t="s">
        <v>2764</v>
      </c>
      <c r="J190" s="369" t="s">
        <v>2572</v>
      </c>
      <c r="K190" s="375" t="s">
        <v>1280</v>
      </c>
      <c r="L190" s="274">
        <v>67</v>
      </c>
      <c r="M190" s="292">
        <v>67</v>
      </c>
      <c r="N190" s="292">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7" t="s">
        <v>1564</v>
      </c>
      <c r="H191" s="287" t="s">
        <v>1574</v>
      </c>
      <c r="I191" s="294" t="s">
        <v>1869</v>
      </c>
      <c r="J191" s="369" t="s">
        <v>2843</v>
      </c>
      <c r="K191" s="375" t="s">
        <v>1281</v>
      </c>
      <c r="L191" s="274" t="s">
        <v>1148</v>
      </c>
      <c r="M191" s="292" t="s">
        <v>1925</v>
      </c>
      <c r="N191" s="292"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7" t="s">
        <v>1565</v>
      </c>
      <c r="H192" s="287" t="s">
        <v>1575</v>
      </c>
      <c r="I192" s="294" t="s">
        <v>1870</v>
      </c>
      <c r="J192" s="369" t="s">
        <v>2844</v>
      </c>
      <c r="K192" s="375" t="s">
        <v>1282</v>
      </c>
      <c r="L192" s="274" t="s">
        <v>1149</v>
      </c>
      <c r="M192" s="292" t="s">
        <v>1926</v>
      </c>
      <c r="N192" s="292"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7" t="s">
        <v>2702</v>
      </c>
      <c r="H193" s="287" t="s">
        <v>1576</v>
      </c>
      <c r="I193" s="294" t="s">
        <v>1871</v>
      </c>
      <c r="J193" s="369" t="s">
        <v>2845</v>
      </c>
      <c r="K193" s="375" t="s">
        <v>1283</v>
      </c>
      <c r="L193" s="274" t="s">
        <v>1150</v>
      </c>
      <c r="M193" s="292" t="s">
        <v>1927</v>
      </c>
      <c r="N193" s="292"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7" t="s">
        <v>1566</v>
      </c>
      <c r="H194" s="287" t="s">
        <v>1577</v>
      </c>
      <c r="I194" s="294" t="s">
        <v>1872</v>
      </c>
      <c r="J194" s="369" t="s">
        <v>2850</v>
      </c>
      <c r="K194" s="375" t="s">
        <v>1284</v>
      </c>
      <c r="L194" s="274" t="s">
        <v>1151</v>
      </c>
      <c r="M194" s="292" t="s">
        <v>1928</v>
      </c>
      <c r="N194" s="292"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7" t="s">
        <v>1567</v>
      </c>
      <c r="H195" s="287" t="s">
        <v>1573</v>
      </c>
      <c r="I195" s="294" t="s">
        <v>1873</v>
      </c>
      <c r="J195" s="369" t="s">
        <v>2846</v>
      </c>
      <c r="K195" s="375" t="s">
        <v>1285</v>
      </c>
      <c r="L195" s="274" t="s">
        <v>1152</v>
      </c>
      <c r="M195" s="292" t="s">
        <v>1929</v>
      </c>
      <c r="N195" s="292"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7" t="s">
        <v>1568</v>
      </c>
      <c r="H196" s="287" t="s">
        <v>1572</v>
      </c>
      <c r="I196" s="294" t="s">
        <v>1874</v>
      </c>
      <c r="J196" s="369" t="s">
        <v>2847</v>
      </c>
      <c r="K196" s="375" t="s">
        <v>1286</v>
      </c>
      <c r="L196" s="274" t="s">
        <v>1153</v>
      </c>
      <c r="M196" s="292" t="s">
        <v>1930</v>
      </c>
      <c r="N196" s="292"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7" t="s">
        <v>1569</v>
      </c>
      <c r="H197" s="287" t="s">
        <v>1578</v>
      </c>
      <c r="I197" s="294" t="s">
        <v>1875</v>
      </c>
      <c r="J197" s="369" t="s">
        <v>2848</v>
      </c>
      <c r="K197" s="375" t="s">
        <v>1287</v>
      </c>
      <c r="L197" s="274">
        <v>676</v>
      </c>
      <c r="M197" s="292">
        <v>676</v>
      </c>
      <c r="N197" s="292">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7" t="s">
        <v>1570</v>
      </c>
      <c r="H198" s="287" t="s">
        <v>1579</v>
      </c>
      <c r="I198" s="294" t="s">
        <v>1876</v>
      </c>
      <c r="J198" s="369" t="s">
        <v>2849</v>
      </c>
      <c r="K198" s="375" t="s">
        <v>1154</v>
      </c>
      <c r="L198" s="274" t="s">
        <v>1154</v>
      </c>
      <c r="M198" s="292" t="s">
        <v>1154</v>
      </c>
      <c r="N198" s="292"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7" t="s">
        <v>1571</v>
      </c>
      <c r="H199" s="287" t="s">
        <v>1580</v>
      </c>
      <c r="I199" s="294" t="s">
        <v>1877</v>
      </c>
      <c r="J199" s="369" t="s">
        <v>2851</v>
      </c>
      <c r="K199" s="375" t="s">
        <v>1155</v>
      </c>
      <c r="L199" s="274" t="s">
        <v>1155</v>
      </c>
      <c r="M199" s="292" t="s">
        <v>1155</v>
      </c>
      <c r="N199" s="292"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7" t="s">
        <v>1196</v>
      </c>
      <c r="H200" s="287" t="s">
        <v>951</v>
      </c>
      <c r="I200" s="294" t="s">
        <v>2787</v>
      </c>
      <c r="J200" s="369" t="s">
        <v>2085</v>
      </c>
      <c r="K200" s="375" t="s">
        <v>1288</v>
      </c>
      <c r="L200" s="274">
        <v>57</v>
      </c>
      <c r="M200" s="292">
        <v>57</v>
      </c>
      <c r="N200" s="292">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7" t="s">
        <v>1540</v>
      </c>
      <c r="H201" s="287" t="s">
        <v>1531</v>
      </c>
      <c r="I201" s="294" t="s">
        <v>1878</v>
      </c>
      <c r="J201" s="369" t="s">
        <v>2852</v>
      </c>
      <c r="K201" s="375" t="s">
        <v>1289</v>
      </c>
      <c r="L201" s="274" t="s">
        <v>1156</v>
      </c>
      <c r="M201" s="292" t="s">
        <v>1931</v>
      </c>
      <c r="N201" s="292"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7" t="s">
        <v>1539</v>
      </c>
      <c r="H202" s="287" t="s">
        <v>1530</v>
      </c>
      <c r="I202" s="294" t="s">
        <v>1879</v>
      </c>
      <c r="J202" s="369" t="s">
        <v>2853</v>
      </c>
      <c r="K202" s="375" t="s">
        <v>1290</v>
      </c>
      <c r="L202" s="274" t="s">
        <v>1157</v>
      </c>
      <c r="M202" s="292" t="s">
        <v>1932</v>
      </c>
      <c r="N202" s="292"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7" t="s">
        <v>1538</v>
      </c>
      <c r="H203" s="287" t="s">
        <v>1529</v>
      </c>
      <c r="I203" s="294" t="s">
        <v>1880</v>
      </c>
      <c r="J203" s="369" t="s">
        <v>2854</v>
      </c>
      <c r="K203" s="375" t="s">
        <v>1291</v>
      </c>
      <c r="L203" s="274" t="s">
        <v>1158</v>
      </c>
      <c r="M203" s="292" t="s">
        <v>1933</v>
      </c>
      <c r="N203" s="292"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7" t="s">
        <v>1537</v>
      </c>
      <c r="H204" s="287" t="s">
        <v>1528</v>
      </c>
      <c r="I204" s="294" t="s">
        <v>1881</v>
      </c>
      <c r="J204" s="369" t="s">
        <v>2855</v>
      </c>
      <c r="K204" s="375" t="s">
        <v>1292</v>
      </c>
      <c r="L204" s="274" t="s">
        <v>1159</v>
      </c>
      <c r="M204" s="292" t="s">
        <v>1934</v>
      </c>
      <c r="N204" s="292"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7" t="s">
        <v>1532</v>
      </c>
      <c r="H205" s="287" t="s">
        <v>1526</v>
      </c>
      <c r="I205" s="294" t="s">
        <v>1882</v>
      </c>
      <c r="J205" s="369" t="s">
        <v>2856</v>
      </c>
      <c r="K205" s="375" t="s">
        <v>1293</v>
      </c>
      <c r="L205" s="274" t="s">
        <v>1160</v>
      </c>
      <c r="M205" s="292" t="s">
        <v>1935</v>
      </c>
      <c r="N205" s="292"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7" t="s">
        <v>1533</v>
      </c>
      <c r="H206" s="287" t="s">
        <v>1523</v>
      </c>
      <c r="I206" s="294" t="s">
        <v>1883</v>
      </c>
      <c r="J206" s="369" t="s">
        <v>2857</v>
      </c>
      <c r="K206" s="375" t="s">
        <v>1294</v>
      </c>
      <c r="L206" s="274" t="s">
        <v>1161</v>
      </c>
      <c r="M206" s="292" t="s">
        <v>1936</v>
      </c>
      <c r="N206" s="292"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7" t="s">
        <v>1534</v>
      </c>
      <c r="H207" s="287" t="s">
        <v>1524</v>
      </c>
      <c r="I207" s="294" t="s">
        <v>1884</v>
      </c>
      <c r="J207" s="369" t="s">
        <v>2858</v>
      </c>
      <c r="K207" s="375" t="s">
        <v>1295</v>
      </c>
      <c r="L207" s="274">
        <v>576</v>
      </c>
      <c r="M207" s="292">
        <v>576</v>
      </c>
      <c r="N207" s="292">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7" t="s">
        <v>1535</v>
      </c>
      <c r="H208" s="287" t="s">
        <v>1525</v>
      </c>
      <c r="I208" s="294" t="s">
        <v>1885</v>
      </c>
      <c r="J208" s="369" t="s">
        <v>2860</v>
      </c>
      <c r="K208" s="375" t="s">
        <v>1296</v>
      </c>
      <c r="L208" s="274" t="s">
        <v>1162</v>
      </c>
      <c r="M208" s="292" t="s">
        <v>1937</v>
      </c>
      <c r="N208" s="292"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7" t="s">
        <v>1536</v>
      </c>
      <c r="H209" s="287" t="s">
        <v>1527</v>
      </c>
      <c r="I209" s="294" t="s">
        <v>1886</v>
      </c>
      <c r="J209" s="369" t="s">
        <v>2859</v>
      </c>
      <c r="K209" s="375" t="s">
        <v>1163</v>
      </c>
      <c r="L209" s="274" t="s">
        <v>1163</v>
      </c>
      <c r="M209" s="292" t="s">
        <v>1163</v>
      </c>
      <c r="N209" s="292"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0" t="s">
        <v>1197</v>
      </c>
      <c r="H210" s="287" t="s">
        <v>952</v>
      </c>
      <c r="I210" s="294" t="s">
        <v>1887</v>
      </c>
      <c r="J210" s="369" t="s">
        <v>2086</v>
      </c>
      <c r="K210" s="375"/>
      <c r="L210" s="274"/>
      <c r="M210" s="292"/>
      <c r="N210" s="292"/>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0" t="s">
        <v>1198</v>
      </c>
      <c r="H211" s="287" t="s">
        <v>953</v>
      </c>
      <c r="I211" s="294" t="s">
        <v>1888</v>
      </c>
      <c r="J211" s="369" t="s">
        <v>2087</v>
      </c>
      <c r="K211" s="375"/>
      <c r="L211" s="274"/>
      <c r="M211" s="292"/>
      <c r="N211" s="292"/>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79" t="s">
        <v>2765</v>
      </c>
      <c r="H212" s="290" t="s">
        <v>2209</v>
      </c>
      <c r="I212" s="295" t="s">
        <v>2208</v>
      </c>
      <c r="J212" s="369" t="s">
        <v>2863</v>
      </c>
      <c r="K212" s="375" t="s">
        <v>1297</v>
      </c>
      <c r="L212" s="274">
        <v>68</v>
      </c>
      <c r="M212" s="292">
        <v>68</v>
      </c>
      <c r="N212" s="292">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7" t="s">
        <v>1541</v>
      </c>
      <c r="H213" s="287" t="s">
        <v>1522</v>
      </c>
      <c r="I213" s="294" t="s">
        <v>1889</v>
      </c>
      <c r="J213" s="369" t="s">
        <v>2531</v>
      </c>
      <c r="K213" s="375" t="s">
        <v>1298</v>
      </c>
      <c r="L213" s="274" t="s">
        <v>1164</v>
      </c>
      <c r="M213" s="292" t="s">
        <v>2322</v>
      </c>
      <c r="N213" s="292"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7" t="s">
        <v>1543</v>
      </c>
      <c r="H214" s="56" t="s">
        <v>954</v>
      </c>
      <c r="I214" s="294" t="s">
        <v>2795</v>
      </c>
      <c r="J214" s="369" t="s">
        <v>2532</v>
      </c>
      <c r="K214" s="375" t="s">
        <v>1299</v>
      </c>
      <c r="L214" s="274" t="s">
        <v>1165</v>
      </c>
      <c r="M214" s="292" t="s">
        <v>1938</v>
      </c>
      <c r="N214" s="292"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7" t="s">
        <v>1544</v>
      </c>
      <c r="H215" s="56" t="s">
        <v>1521</v>
      </c>
      <c r="I215" s="294" t="s">
        <v>2796</v>
      </c>
      <c r="J215" s="369" t="s">
        <v>2533</v>
      </c>
      <c r="K215" s="375" t="s">
        <v>2461</v>
      </c>
      <c r="L215" s="274" t="s">
        <v>2462</v>
      </c>
      <c r="M215" s="292" t="s">
        <v>1939</v>
      </c>
      <c r="N215" s="292"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7" t="s">
        <v>1545</v>
      </c>
      <c r="H216" s="56" t="s">
        <v>1520</v>
      </c>
      <c r="I216" s="294" t="s">
        <v>2797</v>
      </c>
      <c r="J216" s="369" t="s">
        <v>2534</v>
      </c>
      <c r="K216" s="375" t="s">
        <v>2464</v>
      </c>
      <c r="L216" s="274" t="s">
        <v>2463</v>
      </c>
      <c r="M216" s="292" t="s">
        <v>1940</v>
      </c>
      <c r="N216" s="292"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7" t="s">
        <v>1546</v>
      </c>
      <c r="H217" s="56" t="s">
        <v>1519</v>
      </c>
      <c r="I217" s="294" t="s">
        <v>2798</v>
      </c>
      <c r="J217" s="369" t="s">
        <v>2535</v>
      </c>
      <c r="K217" s="375" t="s">
        <v>2465</v>
      </c>
      <c r="L217" s="274" t="s">
        <v>2468</v>
      </c>
      <c r="M217" s="292" t="s">
        <v>1941</v>
      </c>
      <c r="N217" s="292"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7" t="s">
        <v>1547</v>
      </c>
      <c r="H218" s="56" t="s">
        <v>1518</v>
      </c>
      <c r="I218" s="294" t="s">
        <v>2799</v>
      </c>
      <c r="J218" s="369" t="s">
        <v>2536</v>
      </c>
      <c r="K218" s="375" t="s">
        <v>2466</v>
      </c>
      <c r="L218" s="274" t="s">
        <v>2467</v>
      </c>
      <c r="M218" s="292" t="s">
        <v>1942</v>
      </c>
      <c r="N218" s="292"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7" t="s">
        <v>1548</v>
      </c>
      <c r="H219" s="56" t="s">
        <v>1514</v>
      </c>
      <c r="I219" s="294" t="s">
        <v>2800</v>
      </c>
      <c r="J219" s="369" t="s">
        <v>2537</v>
      </c>
      <c r="K219" s="375" t="s">
        <v>1300</v>
      </c>
      <c r="L219" s="274" t="s">
        <v>1166</v>
      </c>
      <c r="M219" s="292" t="s">
        <v>1166</v>
      </c>
      <c r="N219" s="292"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7" t="s">
        <v>1542</v>
      </c>
      <c r="H220" s="56" t="s">
        <v>1513</v>
      </c>
      <c r="I220" s="294" t="s">
        <v>1890</v>
      </c>
      <c r="J220" s="369" t="s">
        <v>2538</v>
      </c>
      <c r="K220" s="375" t="s">
        <v>1298</v>
      </c>
      <c r="L220" s="274" t="s">
        <v>1164</v>
      </c>
      <c r="M220" s="292" t="s">
        <v>1918</v>
      </c>
      <c r="N220" s="292"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7" t="s">
        <v>1549</v>
      </c>
      <c r="H221" s="56" t="s">
        <v>1515</v>
      </c>
      <c r="I221" s="294" t="s">
        <v>1891</v>
      </c>
      <c r="J221" s="369" t="s">
        <v>2539</v>
      </c>
      <c r="K221" s="375" t="s">
        <v>2577</v>
      </c>
      <c r="L221" s="274" t="s">
        <v>2575</v>
      </c>
      <c r="M221" s="292" t="s">
        <v>1943</v>
      </c>
      <c r="N221" s="292"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7" t="s">
        <v>1552</v>
      </c>
      <c r="H222" s="56" t="s">
        <v>1516</v>
      </c>
      <c r="I222" s="294" t="s">
        <v>1892</v>
      </c>
      <c r="J222" s="369" t="s">
        <v>2540</v>
      </c>
      <c r="K222" s="375" t="s">
        <v>2578</v>
      </c>
      <c r="L222" s="274" t="s">
        <v>2576</v>
      </c>
      <c r="M222" s="292" t="s">
        <v>1944</v>
      </c>
      <c r="N222" s="292"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7" t="s">
        <v>1550</v>
      </c>
      <c r="H223" s="56" t="s">
        <v>1512</v>
      </c>
      <c r="I223" s="296" t="s">
        <v>1893</v>
      </c>
      <c r="J223" s="369" t="s">
        <v>2541</v>
      </c>
      <c r="K223" s="375" t="s">
        <v>1301</v>
      </c>
      <c r="L223" s="274" t="s">
        <v>1167</v>
      </c>
      <c r="M223" s="292" t="s">
        <v>1945</v>
      </c>
      <c r="N223" s="292"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7" t="s">
        <v>1551</v>
      </c>
      <c r="H224" s="56" t="s">
        <v>1517</v>
      </c>
      <c r="I224" s="294" t="s">
        <v>1894</v>
      </c>
      <c r="J224" s="369" t="s">
        <v>2542</v>
      </c>
      <c r="K224" s="375" t="s">
        <v>2909</v>
      </c>
      <c r="L224" s="274" t="s">
        <v>2574</v>
      </c>
      <c r="M224" s="292" t="s">
        <v>1946</v>
      </c>
      <c r="N224" s="292"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0" t="s">
        <v>2766</v>
      </c>
      <c r="H225" s="56" t="s">
        <v>955</v>
      </c>
      <c r="I225" s="294" t="s">
        <v>2788</v>
      </c>
      <c r="J225" s="369" t="s">
        <v>2088</v>
      </c>
      <c r="K225" s="375" t="s">
        <v>1302</v>
      </c>
      <c r="L225" s="274">
        <v>58</v>
      </c>
      <c r="M225" s="292">
        <v>58</v>
      </c>
      <c r="N225" s="292">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7" t="s">
        <v>1553</v>
      </c>
      <c r="H226" s="56" t="s">
        <v>1500</v>
      </c>
      <c r="I226" s="294" t="s">
        <v>1895</v>
      </c>
      <c r="J226" s="369" t="s">
        <v>2543</v>
      </c>
      <c r="K226" s="375"/>
      <c r="L226" s="274"/>
      <c r="M226" s="292"/>
      <c r="N226" s="292"/>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7" t="s">
        <v>1554</v>
      </c>
      <c r="H227" s="56" t="s">
        <v>1501</v>
      </c>
      <c r="I227" s="294" t="s">
        <v>2791</v>
      </c>
      <c r="J227" s="369" t="s">
        <v>2544</v>
      </c>
      <c r="K227" s="375" t="s">
        <v>2914</v>
      </c>
      <c r="L227" s="274" t="s">
        <v>1168</v>
      </c>
      <c r="M227" s="292" t="s">
        <v>1168</v>
      </c>
      <c r="N227" s="292"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7" t="s">
        <v>1555</v>
      </c>
      <c r="H228" s="56" t="s">
        <v>1502</v>
      </c>
      <c r="I228" s="294" t="s">
        <v>2792</v>
      </c>
      <c r="J228" s="369" t="s">
        <v>2545</v>
      </c>
      <c r="K228" s="375" t="s">
        <v>2579</v>
      </c>
      <c r="L228" s="274" t="s">
        <v>2582</v>
      </c>
      <c r="M228" s="292" t="s">
        <v>1947</v>
      </c>
      <c r="N228" s="292"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7" t="s">
        <v>1556</v>
      </c>
      <c r="H229" s="56" t="s">
        <v>1503</v>
      </c>
      <c r="I229" s="294" t="s">
        <v>2793</v>
      </c>
      <c r="J229" s="369" t="s">
        <v>2546</v>
      </c>
      <c r="K229" s="375" t="s">
        <v>2903</v>
      </c>
      <c r="L229" s="274" t="s">
        <v>2905</v>
      </c>
      <c r="M229" s="292" t="s">
        <v>2907</v>
      </c>
      <c r="N229" s="292"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7" t="s">
        <v>1557</v>
      </c>
      <c r="H230" s="56" t="s">
        <v>1504</v>
      </c>
      <c r="I230" s="294" t="s">
        <v>2789</v>
      </c>
      <c r="J230" s="369" t="s">
        <v>2547</v>
      </c>
      <c r="K230" s="375" t="s">
        <v>2904</v>
      </c>
      <c r="L230" s="274" t="s">
        <v>2906</v>
      </c>
      <c r="M230" s="292" t="s">
        <v>2908</v>
      </c>
      <c r="N230" s="292"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7" t="s">
        <v>1558</v>
      </c>
      <c r="H231" s="56" t="s">
        <v>1505</v>
      </c>
      <c r="I231" s="294" t="s">
        <v>2790</v>
      </c>
      <c r="J231" s="369" t="s">
        <v>2548</v>
      </c>
      <c r="K231" s="375" t="s">
        <v>2580</v>
      </c>
      <c r="L231" s="274" t="s">
        <v>2581</v>
      </c>
      <c r="M231" s="292" t="s">
        <v>1948</v>
      </c>
      <c r="N231" s="292"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7" t="s">
        <v>2806</v>
      </c>
      <c r="H232" s="56" t="s">
        <v>1506</v>
      </c>
      <c r="I232" s="294" t="s">
        <v>2794</v>
      </c>
      <c r="J232" s="369" t="s">
        <v>2549</v>
      </c>
      <c r="K232" s="375" t="s">
        <v>2915</v>
      </c>
      <c r="L232" s="274" t="s">
        <v>1169</v>
      </c>
      <c r="M232" s="292" t="s">
        <v>1949</v>
      </c>
      <c r="N232" s="292"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7" t="s">
        <v>1559</v>
      </c>
      <c r="H233" s="56" t="s">
        <v>1507</v>
      </c>
      <c r="I233" s="294" t="s">
        <v>1896</v>
      </c>
      <c r="J233" s="369" t="s">
        <v>2550</v>
      </c>
      <c r="K233" s="375"/>
      <c r="L233" s="274"/>
      <c r="M233" s="292"/>
      <c r="N233" s="292"/>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7" t="s">
        <v>1560</v>
      </c>
      <c r="H234" s="56" t="s">
        <v>1508</v>
      </c>
      <c r="I234" s="294" t="s">
        <v>1897</v>
      </c>
      <c r="J234" s="369" t="s">
        <v>2551</v>
      </c>
      <c r="K234" s="375" t="s">
        <v>2899</v>
      </c>
      <c r="L234" s="274" t="s">
        <v>1170</v>
      </c>
      <c r="M234" s="292" t="s">
        <v>1170</v>
      </c>
      <c r="N234" s="292"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7" t="s">
        <v>1561</v>
      </c>
      <c r="H235" s="56" t="s">
        <v>1511</v>
      </c>
      <c r="I235" s="294" t="s">
        <v>1898</v>
      </c>
      <c r="J235" s="369" t="s">
        <v>2552</v>
      </c>
      <c r="K235" s="375" t="s">
        <v>2900</v>
      </c>
      <c r="L235" s="274" t="s">
        <v>2901</v>
      </c>
      <c r="M235" s="292" t="s">
        <v>2902</v>
      </c>
      <c r="N235" s="292"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7" t="s">
        <v>1562</v>
      </c>
      <c r="H236" s="56" t="s">
        <v>1509</v>
      </c>
      <c r="I236" s="294" t="s">
        <v>1899</v>
      </c>
      <c r="J236" s="369" t="s">
        <v>2553</v>
      </c>
      <c r="K236" s="375" t="s">
        <v>1303</v>
      </c>
      <c r="L236" s="274" t="s">
        <v>1171</v>
      </c>
      <c r="M236" s="292" t="s">
        <v>1950</v>
      </c>
      <c r="N236" s="292"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7" t="s">
        <v>1563</v>
      </c>
      <c r="H237" s="56" t="s">
        <v>1510</v>
      </c>
      <c r="I237" s="294" t="s">
        <v>1900</v>
      </c>
      <c r="J237" s="369" t="s">
        <v>2554</v>
      </c>
      <c r="K237" s="375" t="s">
        <v>1304</v>
      </c>
      <c r="L237" s="274" t="s">
        <v>1172</v>
      </c>
      <c r="M237" s="292" t="s">
        <v>1951</v>
      </c>
      <c r="N237" s="292"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0" t="s">
        <v>2768</v>
      </c>
      <c r="H238" s="286" t="s">
        <v>2222</v>
      </c>
      <c r="I238" s="294" t="s">
        <v>1901</v>
      </c>
      <c r="J238" s="369" t="s">
        <v>2089</v>
      </c>
      <c r="K238" s="375"/>
      <c r="L238" s="274"/>
      <c r="M238" s="292"/>
      <c r="N238" s="292"/>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0" t="s">
        <v>2767</v>
      </c>
      <c r="H239" s="286" t="s">
        <v>2223</v>
      </c>
      <c r="I239" s="294" t="s">
        <v>1902</v>
      </c>
      <c r="J239" s="369" t="s">
        <v>2090</v>
      </c>
      <c r="K239" s="375"/>
      <c r="L239" s="274"/>
      <c r="M239" s="292"/>
      <c r="N239" s="292"/>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7" t="s">
        <v>2703</v>
      </c>
      <c r="H240" s="56" t="s">
        <v>2704</v>
      </c>
      <c r="I240" s="294" t="s">
        <v>1903</v>
      </c>
      <c r="J240" s="369" t="s">
        <v>2216</v>
      </c>
      <c r="K240" s="375" t="s">
        <v>1305</v>
      </c>
      <c r="L240" s="274" t="s">
        <v>1173</v>
      </c>
      <c r="M240" s="292" t="s">
        <v>2583</v>
      </c>
      <c r="N240" s="292" t="s">
        <v>1173</v>
      </c>
      <c r="O240" s="10">
        <v>1</v>
      </c>
      <c r="P240" s="10"/>
    </row>
    <row r="241" spans="1:16" s="355"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7" t="s">
        <v>2875</v>
      </c>
      <c r="H241" s="56" t="s">
        <v>2705</v>
      </c>
      <c r="I241" s="294" t="s">
        <v>1904</v>
      </c>
      <c r="J241" s="369" t="s">
        <v>2091</v>
      </c>
      <c r="K241" s="375" t="s">
        <v>1306</v>
      </c>
      <c r="L241" s="274" t="s">
        <v>1174</v>
      </c>
      <c r="M241" s="292" t="s">
        <v>2584</v>
      </c>
      <c r="N241" s="292" t="s">
        <v>1174</v>
      </c>
      <c r="O241" s="10"/>
      <c r="P241" s="10"/>
    </row>
    <row r="242" spans="1:16" s="355"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7" t="s">
        <v>1199</v>
      </c>
      <c r="H242" s="56" t="s">
        <v>956</v>
      </c>
      <c r="I242" s="294" t="s">
        <v>1905</v>
      </c>
      <c r="J242" s="369" t="s">
        <v>2092</v>
      </c>
      <c r="K242" s="375"/>
      <c r="L242" s="274"/>
      <c r="M242" s="292"/>
      <c r="N242" s="292"/>
      <c r="O242" s="10">
        <v>1</v>
      </c>
      <c r="P242" s="10"/>
    </row>
    <row r="243" spans="1:16" s="355"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7" t="s">
        <v>1200</v>
      </c>
      <c r="H243" s="56" t="s">
        <v>957</v>
      </c>
      <c r="I243" s="294" t="s">
        <v>1906</v>
      </c>
      <c r="J243" s="369" t="s">
        <v>2093</v>
      </c>
      <c r="K243" s="375"/>
      <c r="L243" s="274"/>
      <c r="M243" s="292"/>
      <c r="N243" s="292"/>
      <c r="O243" s="10">
        <v>1</v>
      </c>
      <c r="P243" s="10"/>
    </row>
    <row r="244" spans="1:16" s="355"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0" t="s">
        <v>1201</v>
      </c>
      <c r="H244" s="56" t="s">
        <v>958</v>
      </c>
      <c r="I244" s="294" t="s">
        <v>1907</v>
      </c>
      <c r="J244" s="369" t="s">
        <v>2094</v>
      </c>
      <c r="K244" s="375"/>
      <c r="L244" s="274"/>
      <c r="M244" s="292"/>
      <c r="N244" s="292"/>
      <c r="O244" s="10">
        <v>1</v>
      </c>
      <c r="P244" s="10"/>
    </row>
    <row r="245" spans="1:16" s="355"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0" t="s">
        <v>1202</v>
      </c>
      <c r="H245" s="56" t="s">
        <v>959</v>
      </c>
      <c r="I245" s="294" t="s">
        <v>1908</v>
      </c>
      <c r="J245" s="369" t="s">
        <v>2095</v>
      </c>
      <c r="K245" s="375"/>
      <c r="L245" s="274"/>
      <c r="M245" s="292"/>
      <c r="N245" s="292"/>
      <c r="O245" s="10"/>
      <c r="P245" s="10"/>
    </row>
    <row r="246" spans="1:16" s="355"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79" t="s">
        <v>2874</v>
      </c>
      <c r="H246" s="286" t="s">
        <v>2866</v>
      </c>
      <c r="I246" s="295" t="s">
        <v>2585</v>
      </c>
      <c r="J246" s="369" t="s">
        <v>2219</v>
      </c>
      <c r="K246" s="292"/>
      <c r="L246" s="276"/>
      <c r="M246" s="276"/>
      <c r="N246" s="255"/>
      <c r="O246" s="10"/>
      <c r="P246" s="10"/>
    </row>
    <row r="247" spans="1:16" s="355"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7" t="s">
        <v>1203</v>
      </c>
      <c r="H247" s="310" t="s">
        <v>960</v>
      </c>
      <c r="I247" s="311" t="s">
        <v>1909</v>
      </c>
      <c r="J247" s="378" t="s">
        <v>2096</v>
      </c>
      <c r="K247" s="312"/>
      <c r="L247" s="313"/>
      <c r="M247" s="276"/>
      <c r="N247" s="255"/>
      <c r="O247" s="10"/>
      <c r="P247" s="10"/>
    </row>
    <row r="248" spans="1:16" s="355"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0" t="s">
        <v>2214</v>
      </c>
      <c r="H248" s="314" t="s">
        <v>2213</v>
      </c>
      <c r="I248" s="311" t="s">
        <v>1910</v>
      </c>
      <c r="J248" s="378" t="s">
        <v>2220</v>
      </c>
      <c r="K248" s="312" t="s">
        <v>1307</v>
      </c>
      <c r="L248" s="313">
        <v>721</v>
      </c>
      <c r="M248" s="276">
        <v>721</v>
      </c>
      <c r="N248" s="255">
        <v>721</v>
      </c>
      <c r="O248" s="10"/>
      <c r="P248" s="10"/>
    </row>
    <row r="249" spans="1:16" s="355"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7" t="s">
        <v>1204</v>
      </c>
      <c r="H249" s="310" t="s">
        <v>961</v>
      </c>
      <c r="I249" s="311" t="s">
        <v>1911</v>
      </c>
      <c r="J249" s="378" t="s">
        <v>2097</v>
      </c>
      <c r="K249" s="312"/>
      <c r="L249" s="313"/>
      <c r="M249" s="276"/>
      <c r="N249" s="255"/>
      <c r="O249" s="10"/>
      <c r="P249" s="10"/>
    </row>
    <row r="250" spans="1:16" s="355"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7" t="s">
        <v>1205</v>
      </c>
      <c r="H250" s="310" t="s">
        <v>962</v>
      </c>
      <c r="I250" s="311" t="s">
        <v>2801</v>
      </c>
      <c r="J250" s="378" t="s">
        <v>2555</v>
      </c>
      <c r="K250" s="312" t="s">
        <v>1308</v>
      </c>
      <c r="L250" s="313">
        <v>722</v>
      </c>
      <c r="M250" s="276">
        <v>722</v>
      </c>
      <c r="N250" s="255">
        <v>722</v>
      </c>
      <c r="O250" s="10"/>
      <c r="P250" s="10"/>
    </row>
    <row r="251" spans="1:16" s="355"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7" t="s">
        <v>1206</v>
      </c>
      <c r="H251" s="310" t="s">
        <v>963</v>
      </c>
      <c r="I251" s="315" t="s">
        <v>2802</v>
      </c>
      <c r="J251" s="378" t="s">
        <v>2556</v>
      </c>
      <c r="K251" s="312" t="s">
        <v>1309</v>
      </c>
      <c r="L251" s="313">
        <v>724</v>
      </c>
      <c r="M251" s="276">
        <v>724</v>
      </c>
      <c r="N251" s="255">
        <v>724</v>
      </c>
      <c r="O251" s="10"/>
      <c r="P251" s="10"/>
    </row>
    <row r="252" spans="1:16" s="355"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7" t="s">
        <v>1207</v>
      </c>
      <c r="H252" s="310" t="s">
        <v>964</v>
      </c>
      <c r="I252" s="311" t="s">
        <v>1912</v>
      </c>
      <c r="J252" s="378" t="s">
        <v>2098</v>
      </c>
      <c r="K252" s="312"/>
      <c r="L252" s="313"/>
      <c r="M252" s="276"/>
      <c r="N252" s="255"/>
      <c r="O252" s="10"/>
      <c r="P252" s="10"/>
    </row>
    <row r="253" spans="1:16" s="355"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7" t="s">
        <v>1208</v>
      </c>
      <c r="H253" s="310" t="s">
        <v>965</v>
      </c>
      <c r="I253" s="311" t="s">
        <v>2803</v>
      </c>
      <c r="J253" s="378" t="s">
        <v>2099</v>
      </c>
      <c r="K253" s="316" t="s">
        <v>1310</v>
      </c>
      <c r="L253" s="317">
        <v>723</v>
      </c>
      <c r="M253" s="277">
        <v>723</v>
      </c>
      <c r="N253" s="255">
        <v>723</v>
      </c>
      <c r="O253" s="10"/>
      <c r="P253" s="10"/>
    </row>
    <row r="254" spans="1:16" s="355"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7" t="s">
        <v>1209</v>
      </c>
      <c r="H254" s="310" t="s">
        <v>966</v>
      </c>
      <c r="I254" s="311" t="s">
        <v>2804</v>
      </c>
      <c r="J254" s="378" t="s">
        <v>2100</v>
      </c>
      <c r="K254" s="316" t="s">
        <v>1311</v>
      </c>
      <c r="L254" s="313">
        <v>725</v>
      </c>
      <c r="M254" s="276">
        <v>725</v>
      </c>
      <c r="N254" s="255">
        <v>725</v>
      </c>
      <c r="O254" s="10"/>
      <c r="P254" s="10"/>
    </row>
    <row r="255" spans="1:16" s="355" customFormat="1" ht="27.75" customHeight="1" x14ac:dyDescent="0.2">
      <c r="A255">
        <f t="shared" si="3"/>
        <v>254</v>
      </c>
      <c r="B255" t="s">
        <v>255</v>
      </c>
      <c r="C255">
        <v>1</v>
      </c>
      <c r="D255">
        <v>316</v>
      </c>
      <c r="E255" s="10">
        <f>VLOOKUP( T_Aop[[#This Row],[Id]], T_Aop[], ID_Jezik +10, 1)</f>
        <v>0</v>
      </c>
      <c r="F255" s="254" t="str">
        <f>REPT( "  ", T_Aop[[#This Row],[Aop nivo]]) &amp; VLOOKUP( T_Aop[[#This Row],[Id]], T_Aop[], ID_Jezik + 6, 1)</f>
        <v xml:space="preserve">  NJ. NETO DOBIT I NETO GUBITAK PERIODA
 1. Neto dobit tekuće godine (307-309-310+313)&gt;0 i 307&gt;0 ili (313-308-309-310)&gt;0 i 308&gt;0</v>
      </c>
      <c r="G255" s="297" t="s">
        <v>2876</v>
      </c>
      <c r="H255" s="314" t="s">
        <v>2215</v>
      </c>
      <c r="I255" s="311" t="s">
        <v>1913</v>
      </c>
      <c r="J255" s="378" t="s">
        <v>2221</v>
      </c>
      <c r="K255" s="316"/>
      <c r="L255" s="313"/>
      <c r="M255" s="276"/>
      <c r="N255" s="255"/>
      <c r="O255" s="10"/>
      <c r="P255" s="10"/>
    </row>
    <row r="256" spans="1:16" s="355"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8" t="s">
        <v>1210</v>
      </c>
      <c r="H256" s="310" t="s">
        <v>967</v>
      </c>
      <c r="I256" s="311" t="s">
        <v>1914</v>
      </c>
      <c r="J256" s="378" t="s">
        <v>2101</v>
      </c>
      <c r="K256" s="316" t="s">
        <v>786</v>
      </c>
      <c r="L256" s="313" t="s">
        <v>786</v>
      </c>
      <c r="M256" s="276" t="s">
        <v>786</v>
      </c>
      <c r="N256" s="255"/>
      <c r="O256" s="10"/>
      <c r="P256" s="10"/>
    </row>
    <row r="257" spans="1:16" s="355"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8" t="s">
        <v>1211</v>
      </c>
      <c r="H257" s="310" t="s">
        <v>968</v>
      </c>
      <c r="I257" s="311" t="s">
        <v>1915</v>
      </c>
      <c r="J257" s="378" t="s">
        <v>2102</v>
      </c>
      <c r="K257" s="316" t="s">
        <v>1312</v>
      </c>
      <c r="L257" s="313">
        <v>726</v>
      </c>
      <c r="M257" s="276">
        <v>726</v>
      </c>
      <c r="N257" s="255">
        <v>726</v>
      </c>
      <c r="O257" s="10"/>
      <c r="P257" s="10"/>
    </row>
    <row r="258" spans="1:16" s="355"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7" t="s">
        <v>1212</v>
      </c>
      <c r="H258" s="310" t="s">
        <v>969</v>
      </c>
      <c r="I258" s="311" t="s">
        <v>38</v>
      </c>
      <c r="J258" s="378" t="s">
        <v>2103</v>
      </c>
      <c r="K258" s="316"/>
      <c r="L258" s="313"/>
      <c r="M258" s="278"/>
      <c r="N258" s="255"/>
      <c r="O258" s="10"/>
      <c r="P258" s="10"/>
    </row>
    <row r="259" spans="1:16" s="355"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7" t="s">
        <v>1213</v>
      </c>
      <c r="H259" s="310" t="s">
        <v>970</v>
      </c>
      <c r="I259" s="311" t="s">
        <v>39</v>
      </c>
      <c r="J259" s="378" t="s">
        <v>2104</v>
      </c>
      <c r="K259" s="316"/>
      <c r="L259" s="313"/>
      <c r="M259" s="278"/>
      <c r="N259" s="255"/>
      <c r="O259" s="10"/>
      <c r="P259" s="10"/>
    </row>
    <row r="260" spans="1:16" s="355"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7" t="s">
        <v>32</v>
      </c>
      <c r="H260" s="310" t="s">
        <v>513</v>
      </c>
      <c r="I260" s="311" t="s">
        <v>37</v>
      </c>
      <c r="J260" s="378" t="s">
        <v>2105</v>
      </c>
      <c r="K260" s="316"/>
      <c r="L260" s="313"/>
      <c r="M260" s="278"/>
      <c r="N260" s="255"/>
      <c r="O260" s="10"/>
      <c r="P260" s="10"/>
    </row>
    <row r="261" spans="1:16" s="355"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7" t="s">
        <v>5</v>
      </c>
      <c r="H261" s="310" t="s">
        <v>514</v>
      </c>
      <c r="I261" s="311" t="s">
        <v>30</v>
      </c>
      <c r="J261" s="378" t="s">
        <v>2106</v>
      </c>
      <c r="K261" s="316"/>
      <c r="L261" s="313"/>
      <c r="M261" s="278"/>
      <c r="N261" s="255"/>
      <c r="O261" s="10"/>
      <c r="P261" s="10"/>
    </row>
    <row r="262" spans="1:16" s="355"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7" t="s">
        <v>33</v>
      </c>
      <c r="H262" s="310" t="s">
        <v>515</v>
      </c>
      <c r="I262" s="318" t="s">
        <v>2586</v>
      </c>
      <c r="J262" s="378" t="s">
        <v>2107</v>
      </c>
      <c r="K262" s="316"/>
      <c r="L262" s="313"/>
      <c r="M262" s="278"/>
      <c r="N262" s="255"/>
      <c r="O262" s="10"/>
      <c r="P262" s="10"/>
    </row>
    <row r="263" spans="1:16" s="355"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7" t="s">
        <v>40</v>
      </c>
      <c r="H263" s="310" t="s">
        <v>516</v>
      </c>
      <c r="I263" s="318" t="s">
        <v>2587</v>
      </c>
      <c r="J263" s="378" t="s">
        <v>2108</v>
      </c>
      <c r="K263" s="312"/>
      <c r="L263" s="313"/>
      <c r="M263" s="278"/>
      <c r="N263" s="255"/>
      <c r="O263" s="10"/>
      <c r="P263" s="10"/>
    </row>
    <row r="264" spans="1:16" s="355"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7" t="s">
        <v>2235</v>
      </c>
      <c r="H264" s="319" t="s">
        <v>2706</v>
      </c>
      <c r="I264" s="320" t="s">
        <v>1952</v>
      </c>
      <c r="J264" s="379" t="s">
        <v>2350</v>
      </c>
      <c r="K264" s="312"/>
      <c r="L264" s="312"/>
      <c r="M264" s="291"/>
      <c r="N264" s="255" t="s">
        <v>2344</v>
      </c>
      <c r="O264" s="10">
        <v>1</v>
      </c>
      <c r="P264" s="10"/>
    </row>
    <row r="265" spans="1:16" s="355"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4" t="s">
        <v>2893</v>
      </c>
      <c r="H265" s="321" t="s">
        <v>2894</v>
      </c>
      <c r="I265" s="322" t="s">
        <v>2898</v>
      </c>
      <c r="J265" s="380" t="s">
        <v>2351</v>
      </c>
      <c r="K265" s="312"/>
      <c r="L265" s="312"/>
      <c r="M265" s="291"/>
      <c r="N265" s="255"/>
      <c r="O265" s="10">
        <v>1</v>
      </c>
      <c r="P265" s="10"/>
    </row>
    <row r="266" spans="1:16" s="355"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7" t="s">
        <v>1492</v>
      </c>
      <c r="H266" s="323" t="s">
        <v>1489</v>
      </c>
      <c r="I266" s="324" t="s">
        <v>2805</v>
      </c>
      <c r="J266" s="378" t="s">
        <v>2352</v>
      </c>
      <c r="K266" s="312" t="s">
        <v>2469</v>
      </c>
      <c r="L266" s="312" t="s">
        <v>2473</v>
      </c>
      <c r="M266" s="291" t="s">
        <v>2477</v>
      </c>
      <c r="N266" s="255" t="s">
        <v>2345</v>
      </c>
      <c r="O266" s="10"/>
      <c r="P266" s="10">
        <v>1</v>
      </c>
    </row>
    <row r="267" spans="1:16" s="355"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7" t="s">
        <v>1493</v>
      </c>
      <c r="H267" s="323" t="s">
        <v>1490</v>
      </c>
      <c r="I267" s="311" t="s">
        <v>1953</v>
      </c>
      <c r="J267" s="378" t="s">
        <v>2353</v>
      </c>
      <c r="K267" s="312" t="s">
        <v>2470</v>
      </c>
      <c r="L267" s="312" t="s">
        <v>2474</v>
      </c>
      <c r="M267" s="291" t="s">
        <v>2478</v>
      </c>
      <c r="N267" s="255" t="s">
        <v>2346</v>
      </c>
      <c r="O267" s="10"/>
      <c r="P267" s="10"/>
    </row>
    <row r="268" spans="1:16" s="355"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7" t="s">
        <v>1494</v>
      </c>
      <c r="H268" s="323" t="s">
        <v>1491</v>
      </c>
      <c r="I268" s="311" t="s">
        <v>1954</v>
      </c>
      <c r="J268" s="378" t="s">
        <v>2354</v>
      </c>
      <c r="K268" s="312"/>
      <c r="L268" s="312"/>
      <c r="M268" s="291"/>
      <c r="N268" s="255"/>
      <c r="O268" s="10"/>
      <c r="P268" s="10"/>
    </row>
    <row r="269" spans="1:16" s="355"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7" t="s">
        <v>1495</v>
      </c>
      <c r="H269" s="323" t="s">
        <v>1488</v>
      </c>
      <c r="I269" s="311" t="s">
        <v>1955</v>
      </c>
      <c r="J269" s="378" t="s">
        <v>2355</v>
      </c>
      <c r="K269" s="312"/>
      <c r="L269" s="312"/>
      <c r="M269" s="291"/>
      <c r="N269" s="255"/>
      <c r="O269" s="10"/>
      <c r="P269" s="10"/>
    </row>
    <row r="270" spans="1:16" s="355"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7" t="s">
        <v>1496</v>
      </c>
      <c r="H270" s="323" t="s">
        <v>1487</v>
      </c>
      <c r="I270" s="311" t="s">
        <v>1956</v>
      </c>
      <c r="J270" s="378" t="s">
        <v>2356</v>
      </c>
      <c r="K270" s="312" t="s">
        <v>2471</v>
      </c>
      <c r="L270" s="312" t="s">
        <v>2475</v>
      </c>
      <c r="M270" s="291" t="s">
        <v>2479</v>
      </c>
      <c r="N270" s="255" t="s">
        <v>2347</v>
      </c>
      <c r="O270" s="10"/>
      <c r="P270" s="10"/>
    </row>
    <row r="271" spans="1:16" s="355"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7" t="s">
        <v>1497</v>
      </c>
      <c r="H271" s="323" t="s">
        <v>1486</v>
      </c>
      <c r="I271" s="311" t="s">
        <v>1957</v>
      </c>
      <c r="J271" s="378" t="s">
        <v>2357</v>
      </c>
      <c r="K271" s="312"/>
      <c r="L271" s="312"/>
      <c r="M271" s="291"/>
      <c r="N271" s="255"/>
      <c r="O271" s="10"/>
      <c r="P271" s="10"/>
    </row>
    <row r="272" spans="1:16" s="355"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7" t="s">
        <v>1317</v>
      </c>
      <c r="H272" s="325" t="s">
        <v>1315</v>
      </c>
      <c r="I272" s="311" t="s">
        <v>1958</v>
      </c>
      <c r="J272" s="378" t="s">
        <v>2358</v>
      </c>
      <c r="K272" s="312"/>
      <c r="L272" s="312"/>
      <c r="M272" s="291"/>
      <c r="N272" s="255"/>
      <c r="O272" s="10">
        <v>1</v>
      </c>
      <c r="P272" s="10"/>
    </row>
    <row r="273" spans="1:16" s="355"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7" t="s">
        <v>1318</v>
      </c>
      <c r="H273" s="326" t="s">
        <v>858</v>
      </c>
      <c r="I273" s="311" t="s">
        <v>1959</v>
      </c>
      <c r="J273" s="378" t="s">
        <v>2359</v>
      </c>
      <c r="K273" s="312" t="s">
        <v>2472</v>
      </c>
      <c r="L273" s="312" t="s">
        <v>2476</v>
      </c>
      <c r="M273" s="291" t="s">
        <v>2480</v>
      </c>
      <c r="N273" s="255" t="s">
        <v>2348</v>
      </c>
      <c r="O273" s="10"/>
      <c r="P273" s="10"/>
    </row>
    <row r="274" spans="1:16" s="355"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7" t="s">
        <v>1319</v>
      </c>
      <c r="H274" s="323" t="s">
        <v>859</v>
      </c>
      <c r="I274" s="311" t="s">
        <v>1960</v>
      </c>
      <c r="J274" s="378" t="s">
        <v>2360</v>
      </c>
      <c r="K274" s="312" t="s">
        <v>2469</v>
      </c>
      <c r="L274" s="312" t="s">
        <v>2473</v>
      </c>
      <c r="M274" s="291" t="s">
        <v>2481</v>
      </c>
      <c r="N274" s="255" t="s">
        <v>2349</v>
      </c>
      <c r="O274" s="10"/>
      <c r="P274" s="10"/>
    </row>
    <row r="275" spans="1:16" s="355"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7" t="s">
        <v>1498</v>
      </c>
      <c r="H275" s="323" t="s">
        <v>1484</v>
      </c>
      <c r="I275" s="311" t="s">
        <v>1961</v>
      </c>
      <c r="J275" s="378" t="s">
        <v>2361</v>
      </c>
      <c r="K275" s="312" t="s">
        <v>2471</v>
      </c>
      <c r="L275" s="312" t="s">
        <v>2475</v>
      </c>
      <c r="M275" s="291" t="s">
        <v>2479</v>
      </c>
      <c r="N275" s="255" t="s">
        <v>2347</v>
      </c>
      <c r="O275" s="10"/>
      <c r="P275" s="10"/>
    </row>
    <row r="276" spans="1:16" s="355"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7" t="s">
        <v>1499</v>
      </c>
      <c r="H276" s="323" t="s">
        <v>1485</v>
      </c>
      <c r="I276" s="327" t="s">
        <v>1962</v>
      </c>
      <c r="J276" s="378" t="s">
        <v>2362</v>
      </c>
      <c r="K276" s="312"/>
      <c r="L276" s="312"/>
      <c r="M276" s="291"/>
      <c r="N276" s="255"/>
      <c r="O276" s="10"/>
      <c r="P276" s="10"/>
    </row>
    <row r="277" spans="1:16" s="355"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7" t="s">
        <v>1320</v>
      </c>
      <c r="H277" s="328" t="s">
        <v>860</v>
      </c>
      <c r="I277" s="311" t="s">
        <v>1963</v>
      </c>
      <c r="J277" s="378" t="s">
        <v>2363</v>
      </c>
      <c r="K277" s="312" t="s">
        <v>2471</v>
      </c>
      <c r="L277" s="312" t="s">
        <v>2475</v>
      </c>
      <c r="M277" s="291" t="s">
        <v>2479</v>
      </c>
      <c r="N277" s="255" t="s">
        <v>2347</v>
      </c>
      <c r="O277" s="10"/>
      <c r="P277" s="10"/>
    </row>
    <row r="278" spans="1:16" s="355"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7" t="s">
        <v>1321</v>
      </c>
      <c r="H278" s="328" t="s">
        <v>861</v>
      </c>
      <c r="I278" s="311" t="s">
        <v>1964</v>
      </c>
      <c r="J278" s="378" t="s">
        <v>2364</v>
      </c>
      <c r="K278" s="312"/>
      <c r="L278" s="312"/>
      <c r="M278" s="291"/>
      <c r="N278" s="289"/>
      <c r="O278" s="10">
        <v>1</v>
      </c>
      <c r="P278" s="10"/>
    </row>
    <row r="279" spans="1:16" s="355"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7" t="s">
        <v>1322</v>
      </c>
      <c r="H279" s="329" t="s">
        <v>862</v>
      </c>
      <c r="I279" s="320" t="s">
        <v>1965</v>
      </c>
      <c r="J279" s="378" t="s">
        <v>2365</v>
      </c>
      <c r="K279" s="312"/>
      <c r="L279" s="312"/>
      <c r="M279" s="291"/>
      <c r="N279" s="289"/>
      <c r="O279" s="10">
        <v>1</v>
      </c>
      <c r="P279" s="10"/>
    </row>
    <row r="280" spans="1:16" s="355"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7"/>
      <c r="H280" s="310"/>
      <c r="I280" s="311"/>
      <c r="J280" s="378"/>
      <c r="K280" s="312"/>
      <c r="L280" s="312"/>
      <c r="M280" s="291"/>
      <c r="N280" s="289"/>
      <c r="O280" s="10"/>
      <c r="P280" s="10"/>
    </row>
    <row r="281" spans="1:16" s="355" customFormat="1" ht="12.75" customHeight="1" x14ac:dyDescent="0.2">
      <c r="A281" s="338">
        <f t="shared" si="4"/>
        <v>280</v>
      </c>
      <c r="B281" s="338" t="s">
        <v>264</v>
      </c>
      <c r="C281" s="338">
        <v>0</v>
      </c>
      <c r="D281" s="338">
        <v>416</v>
      </c>
      <c r="E281" s="343">
        <f>VLOOKUP( T_Aop[[#This Row],[Id]], T_Aop[], ID_Jezik +10, 1)</f>
        <v>0</v>
      </c>
      <c r="F281" s="338" t="str">
        <f>REPT( "  ", T_Aop[[#This Row],[Aop nivo]]) &amp; VLOOKUP( T_Aop[[#This Row],[Id]], T_Aop[], ID_Jezik + 6, 1)</f>
        <v xml:space="preserve"> V. UKUPNA DOBIT / (GUBITAK) (400± 415)</v>
      </c>
      <c r="G281" s="311" t="s">
        <v>1323</v>
      </c>
      <c r="H281" s="319" t="s">
        <v>863</v>
      </c>
      <c r="I281" s="320" t="s">
        <v>1966</v>
      </c>
      <c r="J281" s="378" t="s">
        <v>2366</v>
      </c>
      <c r="K281" s="312"/>
      <c r="L281" s="312"/>
      <c r="M281" s="312"/>
      <c r="N281" s="344"/>
      <c r="O281" s="343">
        <v>1</v>
      </c>
      <c r="P281" s="343"/>
    </row>
    <row r="282" spans="1:16" s="355" customFormat="1" ht="12.75" customHeight="1" x14ac:dyDescent="0.2">
      <c r="A282" s="338">
        <f t="shared" si="4"/>
        <v>281</v>
      </c>
      <c r="B282" s="338" t="s">
        <v>264</v>
      </c>
      <c r="C282" s="338">
        <v>0</v>
      </c>
      <c r="D282" s="338"/>
      <c r="E282" s="343">
        <f>VLOOKUP( T_Aop[[#This Row],[Id]], T_Aop[], ID_Jezik +10, 1)</f>
        <v>0</v>
      </c>
      <c r="F282" s="338" t="str">
        <f>REPT( "  ", T_Aop[[#This Row],[Aop nivo]]) &amp; VLOOKUP( T_Aop[[#This Row],[Id]], T_Aop[], ID_Jezik + 6, 1)</f>
        <v xml:space="preserve"> </v>
      </c>
      <c r="G282" s="311" t="s">
        <v>786</v>
      </c>
      <c r="H282" s="319" t="s">
        <v>786</v>
      </c>
      <c r="I282" s="311"/>
      <c r="J282" s="378"/>
      <c r="K282" s="312"/>
      <c r="L282" s="312"/>
      <c r="M282" s="312"/>
      <c r="N282" s="344"/>
      <c r="O282" s="343">
        <v>1</v>
      </c>
      <c r="P282" s="343"/>
    </row>
    <row r="283" spans="1:16" s="355" customFormat="1" ht="12.75" customHeight="1" x14ac:dyDescent="0.2">
      <c r="A283" s="338">
        <f t="shared" si="4"/>
        <v>282</v>
      </c>
      <c r="B283" s="338" t="s">
        <v>264</v>
      </c>
      <c r="C283" s="338">
        <v>0</v>
      </c>
      <c r="D283" s="338">
        <v>417</v>
      </c>
      <c r="E283" s="343">
        <f>VLOOKUP( T_Aop[[#This Row],[Id]], T_Aop[], ID_Jezik +10, 1)</f>
        <v>0</v>
      </c>
      <c r="F283" s="338" t="str">
        <f>REPT( "  ", T_Aop[[#This Row],[Aop nivo]]) &amp; VLOOKUP( T_Aop[[#This Row],[Id]], T_Aop[], ID_Jezik + 6, 1)</f>
        <v>Dio ukupne dobiti/gubitka koji pripada većinskim vlasnicima</v>
      </c>
      <c r="G283" s="311" t="s">
        <v>1324</v>
      </c>
      <c r="H283" s="319" t="s">
        <v>1316</v>
      </c>
      <c r="I283" s="345" t="s">
        <v>2707</v>
      </c>
      <c r="J283" s="378" t="s">
        <v>2367</v>
      </c>
      <c r="K283" s="312"/>
      <c r="L283" s="312"/>
      <c r="M283" s="312"/>
      <c r="N283" s="344"/>
      <c r="O283" s="343">
        <v>1</v>
      </c>
      <c r="P283" s="343"/>
    </row>
    <row r="284" spans="1:16" s="355" customFormat="1" ht="12.75" customHeight="1" x14ac:dyDescent="0.2">
      <c r="A284" s="338">
        <f t="shared" si="4"/>
        <v>283</v>
      </c>
      <c r="B284" s="338" t="s">
        <v>264</v>
      </c>
      <c r="C284" s="338">
        <v>0</v>
      </c>
      <c r="D284" s="338">
        <v>418</v>
      </c>
      <c r="E284" s="343">
        <f>VLOOKUP( T_Aop[[#This Row],[Id]], T_Aop[], ID_Jezik +10, 1)</f>
        <v>0</v>
      </c>
      <c r="F284" s="338" t="str">
        <f>REPT( "  ", T_Aop[[#This Row],[Aop nivo]]) &amp; VLOOKUP( T_Aop[[#This Row],[Id]], T_Aop[], ID_Jezik + 6, 1)</f>
        <v>Dio ukupne dobiti/gubitka koji pripada manjinskim vlasnicima</v>
      </c>
      <c r="G284" s="311" t="s">
        <v>1325</v>
      </c>
      <c r="H284" s="319" t="s">
        <v>864</v>
      </c>
      <c r="I284" s="345" t="s">
        <v>2708</v>
      </c>
      <c r="J284" s="378" t="s">
        <v>2368</v>
      </c>
      <c r="K284" s="312"/>
      <c r="L284" s="312"/>
      <c r="M284" s="312"/>
      <c r="N284" s="344"/>
      <c r="O284" s="343">
        <v>1</v>
      </c>
      <c r="P284" s="343"/>
    </row>
    <row r="285" spans="1:16" s="355" customFormat="1" ht="32.25" customHeight="1" x14ac:dyDescent="0.2">
      <c r="A285" s="338">
        <f t="shared" si="4"/>
        <v>284</v>
      </c>
      <c r="B285" s="338" t="s">
        <v>133</v>
      </c>
      <c r="C285" s="338">
        <v>0</v>
      </c>
      <c r="D285" s="338">
        <v>501</v>
      </c>
      <c r="E285" s="343" t="str">
        <f>VLOOKUP( T_Aop[[#This Row],[Id]], T_Aop[], ID_Jezik +10, 1)</f>
        <v>A_x000D_
I</v>
      </c>
      <c r="F285" s="364" t="str">
        <f>REPT( "  ", T_Aop[[#This Row],[Aop nivo]]) &amp; VLOOKUP( T_Aop[[#This Row],[Id]], T_Aop[], ID_Jezik + 6, 1)</f>
        <v>TOKOVI GOTOVINE IZ POSLOVNIH AKTIVNOSTI 
Prilivi gotovine iz poslovne aktivnosti (502 do 505)</v>
      </c>
      <c r="G285" s="472" t="s">
        <v>2709</v>
      </c>
      <c r="H285" s="314" t="s">
        <v>2664</v>
      </c>
      <c r="I285" s="341" t="s">
        <v>2249</v>
      </c>
      <c r="J285" s="378" t="s">
        <v>2483</v>
      </c>
      <c r="K285" s="312" t="s">
        <v>1417</v>
      </c>
      <c r="L285" s="312" t="s">
        <v>1403</v>
      </c>
      <c r="M285" s="312" t="s">
        <v>1417</v>
      </c>
      <c r="N285" s="342" t="s">
        <v>2434</v>
      </c>
      <c r="O285" s="343">
        <v>1</v>
      </c>
      <c r="P285" s="343"/>
    </row>
    <row r="286" spans="1:16" s="355" customFormat="1" ht="12.75" customHeight="1" x14ac:dyDescent="0.2">
      <c r="A286" s="338">
        <f t="shared" si="4"/>
        <v>285</v>
      </c>
      <c r="B286" s="338" t="s">
        <v>133</v>
      </c>
      <c r="C286" s="338">
        <v>2</v>
      </c>
      <c r="D286" s="338">
        <v>502</v>
      </c>
      <c r="E286" s="343" t="str">
        <f>VLOOKUP( T_Aop[[#This Row],[Id]], T_Aop[], ID_Jezik +10, 1)</f>
        <v>1</v>
      </c>
      <c r="F286" s="338" t="str">
        <f>REPT( "  ", T_Aop[[#This Row],[Aop nivo]]) &amp; VLOOKUP( T_Aop[[#This Row],[Id]], T_Aop[], ID_Jezik + 6, 1)</f>
        <v xml:space="preserve">    Prilivi od kupaca i primljeni avansi u zemlji</v>
      </c>
      <c r="G286" s="311" t="s">
        <v>1458</v>
      </c>
      <c r="H286" s="310" t="s">
        <v>1431</v>
      </c>
      <c r="I286" s="311" t="s">
        <v>1650</v>
      </c>
      <c r="J286" s="378" t="s">
        <v>2369</v>
      </c>
      <c r="K286" s="312" t="s">
        <v>741</v>
      </c>
      <c r="L286" s="312">
        <v>1</v>
      </c>
      <c r="M286" s="312" t="s">
        <v>741</v>
      </c>
      <c r="N286" s="342" t="s">
        <v>702</v>
      </c>
      <c r="O286" s="343"/>
      <c r="P286" s="343"/>
    </row>
    <row r="287" spans="1:16" s="355" customFormat="1" ht="12.75" customHeight="1" x14ac:dyDescent="0.2">
      <c r="A287" s="338">
        <f t="shared" si="4"/>
        <v>286</v>
      </c>
      <c r="B287" s="338" t="s">
        <v>133</v>
      </c>
      <c r="C287" s="338">
        <v>2</v>
      </c>
      <c r="D287" s="338">
        <v>503</v>
      </c>
      <c r="E287" s="343" t="str">
        <f>VLOOKUP( T_Aop[[#This Row],[Id]], T_Aop[], ID_Jezik +10, 1)</f>
        <v>2</v>
      </c>
      <c r="F287" s="338" t="str">
        <f>REPT( "  ", T_Aop[[#This Row],[Aop nivo]]) &amp; VLOOKUP( T_Aop[[#This Row],[Id]], T_Aop[], ID_Jezik + 6, 1)</f>
        <v xml:space="preserve">    Prilivi od kupaca i primljeni avansi u inostranstvu</v>
      </c>
      <c r="G287" s="311" t="s">
        <v>1459</v>
      </c>
      <c r="H287" s="310" t="s">
        <v>1432</v>
      </c>
      <c r="I287" s="311" t="s">
        <v>1651</v>
      </c>
      <c r="J287" s="378" t="s">
        <v>2370</v>
      </c>
      <c r="K287" s="312" t="s">
        <v>1418</v>
      </c>
      <c r="L287" s="312">
        <v>2</v>
      </c>
      <c r="M287" s="312" t="s">
        <v>1418</v>
      </c>
      <c r="N287" s="342" t="s">
        <v>703</v>
      </c>
      <c r="O287" s="343"/>
      <c r="P287" s="343"/>
    </row>
    <row r="288" spans="1:16" s="355" customFormat="1" ht="12.75" customHeight="1" x14ac:dyDescent="0.2">
      <c r="A288" s="338">
        <f t="shared" si="4"/>
        <v>287</v>
      </c>
      <c r="B288" s="338" t="s">
        <v>133</v>
      </c>
      <c r="C288" s="338">
        <v>2</v>
      </c>
      <c r="D288" s="338">
        <v>504</v>
      </c>
      <c r="E288" s="343" t="str">
        <f>VLOOKUP( T_Aop[[#This Row],[Id]], T_Aop[], ID_Jezik +10, 1)</f>
        <v>3</v>
      </c>
      <c r="F288" s="338" t="str">
        <f>REPT( "  ", T_Aop[[#This Row],[Aop nivo]]) &amp; VLOOKUP( T_Aop[[#This Row],[Id]], T_Aop[], ID_Jezik + 6, 1)</f>
        <v xml:space="preserve">    Prilivi od premija, subvencija, dotacija i sl.</v>
      </c>
      <c r="G288" s="311" t="s">
        <v>1460</v>
      </c>
      <c r="H288" s="310" t="s">
        <v>1433</v>
      </c>
      <c r="I288" s="311" t="s">
        <v>1652</v>
      </c>
      <c r="J288" s="378" t="s">
        <v>2371</v>
      </c>
      <c r="K288" s="312" t="s">
        <v>304</v>
      </c>
      <c r="L288" s="312">
        <v>3</v>
      </c>
      <c r="M288" s="312" t="s">
        <v>304</v>
      </c>
      <c r="N288" s="342" t="s">
        <v>704</v>
      </c>
      <c r="O288" s="343"/>
      <c r="P288" s="343"/>
    </row>
    <row r="289" spans="1:16" s="355" customFormat="1" ht="12.75" customHeight="1" x14ac:dyDescent="0.2">
      <c r="A289" s="338">
        <f t="shared" si="4"/>
        <v>288</v>
      </c>
      <c r="B289" s="338" t="s">
        <v>133</v>
      </c>
      <c r="C289" s="338">
        <v>2</v>
      </c>
      <c r="D289" s="338">
        <v>505</v>
      </c>
      <c r="E289" s="343" t="str">
        <f>VLOOKUP( T_Aop[[#This Row],[Id]], T_Aop[], ID_Jezik +10, 1)</f>
        <v>4</v>
      </c>
      <c r="F289" s="338" t="str">
        <f>REPT( "  ", T_Aop[[#This Row],[Aop nivo]]) &amp; VLOOKUP( T_Aop[[#This Row],[Id]], T_Aop[], ID_Jezik + 6, 1)</f>
        <v xml:space="preserve">    Ostali prilivi iz poslovnih aktivnosti</v>
      </c>
      <c r="G289" s="311" t="s">
        <v>1461</v>
      </c>
      <c r="H289" s="310" t="s">
        <v>1434</v>
      </c>
      <c r="I289" s="311" t="s">
        <v>1653</v>
      </c>
      <c r="J289" s="378" t="s">
        <v>2372</v>
      </c>
      <c r="K289" s="312" t="s">
        <v>333</v>
      </c>
      <c r="L289" s="312">
        <v>4</v>
      </c>
      <c r="M289" s="312" t="s">
        <v>333</v>
      </c>
      <c r="N289" s="342" t="s">
        <v>705</v>
      </c>
      <c r="O289" s="343"/>
      <c r="P289" s="343"/>
    </row>
    <row r="290" spans="1:16" s="355" customFormat="1" ht="12.75" customHeight="1" x14ac:dyDescent="0.2">
      <c r="A290" s="338">
        <f t="shared" si="4"/>
        <v>289</v>
      </c>
      <c r="B290" s="338" t="s">
        <v>133</v>
      </c>
      <c r="C290" s="338">
        <v>2</v>
      </c>
      <c r="D290" s="338">
        <v>506</v>
      </c>
      <c r="E290" s="343" t="str">
        <f>VLOOKUP( T_Aop[[#This Row],[Id]], T_Aop[], ID_Jezik +10, 1)</f>
        <v>II</v>
      </c>
      <c r="F290" s="338" t="str">
        <f>REPT( "  ", T_Aop[[#This Row],[Aop nivo]]) &amp; VLOOKUP( T_Aop[[#This Row],[Id]], T_Aop[], ID_Jezik + 6, 1)</f>
        <v xml:space="preserve">    Odlivi gotovine iz poslovnih aktivnosti (507 do 512)</v>
      </c>
      <c r="G290" s="311" t="s">
        <v>1462</v>
      </c>
      <c r="H290" s="310" t="s">
        <v>1435</v>
      </c>
      <c r="I290" s="311" t="s">
        <v>1654</v>
      </c>
      <c r="J290" s="378" t="s">
        <v>2373</v>
      </c>
      <c r="K290" s="312" t="s">
        <v>1404</v>
      </c>
      <c r="L290" s="312" t="s">
        <v>1404</v>
      </c>
      <c r="M290" s="312" t="s">
        <v>1404</v>
      </c>
      <c r="N290" s="342" t="s">
        <v>1404</v>
      </c>
      <c r="O290" s="343"/>
      <c r="P290" s="343"/>
    </row>
    <row r="291" spans="1:16" s="355" customFormat="1" ht="12.75" customHeight="1" x14ac:dyDescent="0.2">
      <c r="A291" s="338">
        <f t="shared" si="4"/>
        <v>290</v>
      </c>
      <c r="B291" s="338" t="s">
        <v>133</v>
      </c>
      <c r="C291" s="338">
        <v>2</v>
      </c>
      <c r="D291" s="338">
        <v>507</v>
      </c>
      <c r="E291" s="343" t="str">
        <f>VLOOKUP( T_Aop[[#This Row],[Id]], T_Aop[], ID_Jezik +10, 1)</f>
        <v>1</v>
      </c>
      <c r="F291" s="338" t="str">
        <f>REPT( "  ", T_Aop[[#This Row],[Aop nivo]]) &amp; VLOOKUP( T_Aop[[#This Row],[Id]], T_Aop[], ID_Jezik + 6, 1)</f>
        <v xml:space="preserve">    Odlivi po osnovu isplata dobavljačima i dati avansi u zemlji</v>
      </c>
      <c r="G291" s="311" t="s">
        <v>1463</v>
      </c>
      <c r="H291" s="310" t="s">
        <v>1436</v>
      </c>
      <c r="I291" s="311" t="s">
        <v>1655</v>
      </c>
      <c r="J291" s="378" t="s">
        <v>2374</v>
      </c>
      <c r="K291" s="312" t="s">
        <v>741</v>
      </c>
      <c r="L291" s="312">
        <v>1</v>
      </c>
      <c r="M291" s="312" t="s">
        <v>741</v>
      </c>
      <c r="N291" s="342" t="s">
        <v>702</v>
      </c>
      <c r="O291" s="343"/>
      <c r="P291" s="343"/>
    </row>
    <row r="292" spans="1:16" s="355" customFormat="1" ht="12.75" customHeight="1" x14ac:dyDescent="0.2">
      <c r="A292" s="338">
        <f t="shared" si="4"/>
        <v>291</v>
      </c>
      <c r="B292" s="338" t="s">
        <v>133</v>
      </c>
      <c r="C292" s="338">
        <v>2</v>
      </c>
      <c r="D292" s="338">
        <v>508</v>
      </c>
      <c r="E292" s="343" t="str">
        <f>VLOOKUP( T_Aop[[#This Row],[Id]], T_Aop[], ID_Jezik +10, 1)</f>
        <v>2</v>
      </c>
      <c r="F292" s="338" t="str">
        <f>REPT( "  ", T_Aop[[#This Row],[Aop nivo]]) &amp; VLOOKUP( T_Aop[[#This Row],[Id]], T_Aop[], ID_Jezik + 6, 1)</f>
        <v xml:space="preserve">    Odlivi po osnovu isplata dobavljačima i dati avansi u inostranstvu</v>
      </c>
      <c r="G292" s="311" t="s">
        <v>1464</v>
      </c>
      <c r="H292" s="310" t="s">
        <v>1437</v>
      </c>
      <c r="I292" s="311" t="s">
        <v>1656</v>
      </c>
      <c r="J292" s="378" t="s">
        <v>2375</v>
      </c>
      <c r="K292" s="312" t="s">
        <v>1418</v>
      </c>
      <c r="L292" s="312">
        <v>2</v>
      </c>
      <c r="M292" s="312" t="s">
        <v>1418</v>
      </c>
      <c r="N292" s="342" t="s">
        <v>703</v>
      </c>
      <c r="O292" s="343"/>
      <c r="P292" s="343"/>
    </row>
    <row r="293" spans="1:16" s="355" customFormat="1" ht="12.75" customHeight="1" x14ac:dyDescent="0.2">
      <c r="A293" s="338">
        <f t="shared" si="4"/>
        <v>292</v>
      </c>
      <c r="B293" s="338" t="s">
        <v>133</v>
      </c>
      <c r="C293" s="338">
        <v>2</v>
      </c>
      <c r="D293" s="338">
        <v>509</v>
      </c>
      <c r="E293" s="343" t="str">
        <f>VLOOKUP( T_Aop[[#This Row],[Id]], T_Aop[], ID_Jezik +10, 1)</f>
        <v>3</v>
      </c>
      <c r="F293" s="338" t="str">
        <f>REPT( "  ", T_Aop[[#This Row],[Aop nivo]]) &amp; VLOOKUP( T_Aop[[#This Row],[Id]], T_Aop[], ID_Jezik + 6, 1)</f>
        <v xml:space="preserve">    Odlivi po osnovu plaćenih kamata</v>
      </c>
      <c r="G293" s="311" t="s">
        <v>1465</v>
      </c>
      <c r="H293" s="310" t="s">
        <v>1438</v>
      </c>
      <c r="I293" s="311" t="s">
        <v>1657</v>
      </c>
      <c r="J293" s="378" t="s">
        <v>2376</v>
      </c>
      <c r="K293" s="312" t="s">
        <v>304</v>
      </c>
      <c r="L293" s="312">
        <v>3</v>
      </c>
      <c r="M293" s="312" t="s">
        <v>304</v>
      </c>
      <c r="N293" s="342" t="s">
        <v>704</v>
      </c>
      <c r="O293" s="343"/>
      <c r="P293" s="343"/>
    </row>
    <row r="294" spans="1:16" s="355" customFormat="1" ht="12.75" customHeight="1" x14ac:dyDescent="0.2">
      <c r="A294" s="338">
        <f t="shared" si="4"/>
        <v>293</v>
      </c>
      <c r="B294" s="338" t="s">
        <v>133</v>
      </c>
      <c r="C294" s="338">
        <v>2</v>
      </c>
      <c r="D294" s="338">
        <v>510</v>
      </c>
      <c r="E294" s="343" t="str">
        <f>VLOOKUP( T_Aop[[#This Row],[Id]], T_Aop[], ID_Jezik +10, 1)</f>
        <v>4</v>
      </c>
      <c r="F294" s="338" t="str">
        <f>REPT( "  ", T_Aop[[#This Row],[Aop nivo]]) &amp; VLOOKUP( T_Aop[[#This Row],[Id]], T_Aop[], ID_Jezik + 6, 1)</f>
        <v xml:space="preserve">    Odlivi po osnovu isplata plata, naknada plata i ostalih ličnih rashoda</v>
      </c>
      <c r="G294" s="311" t="s">
        <v>2922</v>
      </c>
      <c r="H294" s="310" t="s">
        <v>2923</v>
      </c>
      <c r="I294" s="311" t="s">
        <v>1658</v>
      </c>
      <c r="J294" s="378" t="s">
        <v>2377</v>
      </c>
      <c r="K294" s="312" t="s">
        <v>333</v>
      </c>
      <c r="L294" s="312">
        <v>4</v>
      </c>
      <c r="M294" s="312" t="s">
        <v>333</v>
      </c>
      <c r="N294" s="342" t="s">
        <v>705</v>
      </c>
      <c r="O294" s="343"/>
      <c r="P294" s="343"/>
    </row>
    <row r="295" spans="1:16" s="355" customFormat="1" ht="12.75" customHeight="1" x14ac:dyDescent="0.2">
      <c r="A295" s="338">
        <f t="shared" si="4"/>
        <v>294</v>
      </c>
      <c r="B295" s="338" t="s">
        <v>133</v>
      </c>
      <c r="C295" s="338">
        <v>2</v>
      </c>
      <c r="D295" s="338">
        <v>511</v>
      </c>
      <c r="E295" s="343" t="str">
        <f>VLOOKUP( T_Aop[[#This Row],[Id]], T_Aop[], ID_Jezik +10, 1)</f>
        <v>5</v>
      </c>
      <c r="F295" s="338" t="str">
        <f>REPT( "  ", T_Aop[[#This Row],[Aop nivo]]) &amp; VLOOKUP( T_Aop[[#This Row],[Id]], T_Aop[], ID_Jezik + 6, 1)</f>
        <v xml:space="preserve">    Odlivi po osnovu poreza na dobit</v>
      </c>
      <c r="G295" s="311" t="s">
        <v>1466</v>
      </c>
      <c r="H295" s="310" t="s">
        <v>1439</v>
      </c>
      <c r="I295" s="311" t="s">
        <v>1659</v>
      </c>
      <c r="J295" s="378" t="s">
        <v>2378</v>
      </c>
      <c r="K295" s="312" t="s">
        <v>334</v>
      </c>
      <c r="L295" s="312">
        <v>5</v>
      </c>
      <c r="M295" s="312" t="s">
        <v>334</v>
      </c>
      <c r="N295" s="342" t="s">
        <v>706</v>
      </c>
      <c r="O295" s="343"/>
      <c r="P295" s="343"/>
    </row>
    <row r="296" spans="1:16" s="355" customFormat="1" ht="12.75" customHeight="1" x14ac:dyDescent="0.2">
      <c r="A296" s="338">
        <f t="shared" si="4"/>
        <v>295</v>
      </c>
      <c r="B296" s="338" t="s">
        <v>133</v>
      </c>
      <c r="C296" s="338">
        <v>2</v>
      </c>
      <c r="D296" s="338">
        <v>512</v>
      </c>
      <c r="E296" s="343" t="str">
        <f>VLOOKUP( T_Aop[[#This Row],[Id]], T_Aop[], ID_Jezik +10, 1)</f>
        <v>6</v>
      </c>
      <c r="F296" s="338" t="str">
        <f>REPT( "  ", T_Aop[[#This Row],[Aop nivo]]) &amp; VLOOKUP( T_Aop[[#This Row],[Id]], T_Aop[], ID_Jezik + 6, 1)</f>
        <v xml:space="preserve">    Ostali odlivi iz poslovnih aktivnosti</v>
      </c>
      <c r="G296" s="311" t="s">
        <v>1467</v>
      </c>
      <c r="H296" s="310" t="s">
        <v>1440</v>
      </c>
      <c r="I296" s="311" t="s">
        <v>1660</v>
      </c>
      <c r="J296" s="378" t="s">
        <v>2379</v>
      </c>
      <c r="K296" s="312" t="s">
        <v>335</v>
      </c>
      <c r="L296" s="312">
        <v>6</v>
      </c>
      <c r="M296" s="312" t="s">
        <v>335</v>
      </c>
      <c r="N296" s="342" t="s">
        <v>707</v>
      </c>
      <c r="O296" s="343"/>
      <c r="P296" s="343"/>
    </row>
    <row r="297" spans="1:16" s="355" customFormat="1" ht="12.75" customHeight="1" x14ac:dyDescent="0.2">
      <c r="A297" s="338">
        <f t="shared" si="4"/>
        <v>296</v>
      </c>
      <c r="B297" s="338" t="s">
        <v>133</v>
      </c>
      <c r="C297" s="338">
        <v>1</v>
      </c>
      <c r="D297" s="338">
        <v>513</v>
      </c>
      <c r="E297" s="343" t="str">
        <f>VLOOKUP( T_Aop[[#This Row],[Id]], T_Aop[], ID_Jezik +10, 1)</f>
        <v>III</v>
      </c>
      <c r="F297" s="338" t="str">
        <f>REPT( "  ", T_Aop[[#This Row],[Aop nivo]]) &amp; VLOOKUP( T_Aop[[#This Row],[Id]], T_Aop[], ID_Jezik + 6, 1)</f>
        <v xml:space="preserve">  Neto priliv gotovine iz poslovnih aktivnosti (501 – 506)</v>
      </c>
      <c r="G297" s="311" t="s">
        <v>1468</v>
      </c>
      <c r="H297" s="310" t="s">
        <v>1441</v>
      </c>
      <c r="I297" s="311" t="s">
        <v>1661</v>
      </c>
      <c r="J297" s="378" t="s">
        <v>2380</v>
      </c>
      <c r="K297" s="312" t="s">
        <v>1405</v>
      </c>
      <c r="L297" s="312" t="s">
        <v>1405</v>
      </c>
      <c r="M297" s="312" t="s">
        <v>1405</v>
      </c>
      <c r="N297" s="342" t="s">
        <v>1405</v>
      </c>
      <c r="O297" s="343">
        <v>1</v>
      </c>
      <c r="P297" s="343"/>
    </row>
    <row r="298" spans="1:16" s="355" customFormat="1" ht="12.75" customHeight="1" x14ac:dyDescent="0.2">
      <c r="A298" s="338">
        <f t="shared" si="4"/>
        <v>297</v>
      </c>
      <c r="B298" s="338" t="s">
        <v>133</v>
      </c>
      <c r="C298" s="338">
        <v>1</v>
      </c>
      <c r="D298" s="338">
        <v>514</v>
      </c>
      <c r="E298" s="343" t="str">
        <f>VLOOKUP( T_Aop[[#This Row],[Id]], T_Aop[], ID_Jezik +10, 1)</f>
        <v>IV</v>
      </c>
      <c r="F298" s="338" t="str">
        <f>REPT( "  ", T_Aop[[#This Row],[Aop nivo]]) &amp; VLOOKUP( T_Aop[[#This Row],[Id]], T_Aop[], ID_Jezik + 6, 1)</f>
        <v xml:space="preserve">  Neto odliv gotovine iz poslovnih aktivnosti (506 – 501)</v>
      </c>
      <c r="G298" s="311" t="s">
        <v>1469</v>
      </c>
      <c r="H298" s="310" t="s">
        <v>1442</v>
      </c>
      <c r="I298" s="311" t="s">
        <v>1662</v>
      </c>
      <c r="J298" s="378" t="s">
        <v>2381</v>
      </c>
      <c r="K298" s="312" t="s">
        <v>1406</v>
      </c>
      <c r="L298" s="312" t="s">
        <v>1406</v>
      </c>
      <c r="M298" s="312" t="s">
        <v>1406</v>
      </c>
      <c r="N298" s="342" t="s">
        <v>1406</v>
      </c>
      <c r="O298" s="343">
        <v>1</v>
      </c>
      <c r="P298" s="343"/>
    </row>
    <row r="299" spans="1:16" s="355" customFormat="1" ht="12.75" customHeight="1" x14ac:dyDescent="0.2">
      <c r="A299" s="338">
        <f t="shared" si="4"/>
        <v>298</v>
      </c>
      <c r="B299" s="338" t="s">
        <v>133</v>
      </c>
      <c r="C299" s="338">
        <v>0</v>
      </c>
      <c r="D299" s="338">
        <v>515</v>
      </c>
      <c r="E299" s="343" t="str">
        <f>VLOOKUP( T_Aop[[#This Row],[Id]], T_Aop[], ID_Jezik +10, 1)</f>
        <v>B_x000D_
I</v>
      </c>
      <c r="F299" s="364" t="str">
        <f>REPT( "  ", T_Aop[[#This Row],[Aop nivo]]) &amp; VLOOKUP( T_Aop[[#This Row],[Id]], T_Aop[], ID_Jezik + 6, 1)</f>
        <v>TOKOVI GOTOVINE IZ AKTIVNOSTI INVESTIRANJA
Prilivi gotovine iz aktivnosti investiranja (516 do 530)</v>
      </c>
      <c r="G299" s="472" t="s">
        <v>2872</v>
      </c>
      <c r="H299" s="310" t="s">
        <v>1443</v>
      </c>
      <c r="I299" s="341" t="s">
        <v>2864</v>
      </c>
      <c r="J299" s="378" t="s">
        <v>2482</v>
      </c>
      <c r="K299" s="312" t="s">
        <v>1419</v>
      </c>
      <c r="L299" s="312" t="s">
        <v>1407</v>
      </c>
      <c r="M299" s="312" t="s">
        <v>1419</v>
      </c>
      <c r="N299" s="342" t="s">
        <v>2435</v>
      </c>
      <c r="O299" s="343">
        <v>1</v>
      </c>
      <c r="P299" s="343"/>
    </row>
    <row r="300" spans="1:16" s="355" customFormat="1" ht="12.75" customHeight="1" x14ac:dyDescent="0.2">
      <c r="A300" s="338">
        <f t="shared" si="4"/>
        <v>299</v>
      </c>
      <c r="B300" s="338" t="s">
        <v>133</v>
      </c>
      <c r="C300" s="338">
        <v>2</v>
      </c>
      <c r="D300" s="338">
        <v>516</v>
      </c>
      <c r="E300" s="343" t="str">
        <f>VLOOKUP( T_Aop[[#This Row],[Id]], T_Aop[], ID_Jezik +10, 1)</f>
        <v>1</v>
      </c>
      <c r="F300" s="338" t="str">
        <f>REPT( "  ", T_Aop[[#This Row],[Aop nivo]]) &amp; VLOOKUP( T_Aop[[#This Row],[Id]], T_Aop[], ID_Jezik + 6, 1)</f>
        <v xml:space="preserve">    Prilivi gotovine po osnovu prodaje akcija i udjela zavisnih i pridruženih društava i zajedničkih poduhvata</v>
      </c>
      <c r="G300" s="311" t="s">
        <v>1470</v>
      </c>
      <c r="H300" s="310" t="s">
        <v>1444</v>
      </c>
      <c r="I300" s="311" t="s">
        <v>1663</v>
      </c>
      <c r="J300" s="378" t="s">
        <v>2382</v>
      </c>
      <c r="K300" s="312" t="s">
        <v>741</v>
      </c>
      <c r="L300" s="312">
        <v>1</v>
      </c>
      <c r="M300" s="312" t="s">
        <v>741</v>
      </c>
      <c r="N300" s="342" t="s">
        <v>702</v>
      </c>
      <c r="O300" s="343"/>
      <c r="P300" s="343"/>
    </row>
    <row r="301" spans="1:16" s="355" customFormat="1" ht="12.75" customHeight="1" x14ac:dyDescent="0.2">
      <c r="A301" s="338">
        <f t="shared" si="4"/>
        <v>300</v>
      </c>
      <c r="B301" s="338" t="s">
        <v>133</v>
      </c>
      <c r="C301" s="338">
        <v>2</v>
      </c>
      <c r="D301" s="338">
        <v>517</v>
      </c>
      <c r="E301" s="343" t="str">
        <f>VLOOKUP( T_Aop[[#This Row],[Id]], T_Aop[], ID_Jezik +10, 1)</f>
        <v>2</v>
      </c>
      <c r="F301" s="338" t="str">
        <f>REPT( "  ", T_Aop[[#This Row],[Aop nivo]]) &amp; VLOOKUP( T_Aop[[#This Row],[Id]], T_Aop[], ID_Jezik + 6, 1)</f>
        <v xml:space="preserve">    Prilivi po osnovu prodaje nekretnina, postrojenja i opreme</v>
      </c>
      <c r="G301" s="311" t="s">
        <v>1471</v>
      </c>
      <c r="H301" s="310" t="s">
        <v>1445</v>
      </c>
      <c r="I301" s="311" t="s">
        <v>1664</v>
      </c>
      <c r="J301" s="378" t="s">
        <v>2383</v>
      </c>
      <c r="K301" s="312" t="s">
        <v>1418</v>
      </c>
      <c r="L301" s="312">
        <v>2</v>
      </c>
      <c r="M301" s="312" t="s">
        <v>1418</v>
      </c>
      <c r="N301" s="342" t="s">
        <v>703</v>
      </c>
      <c r="O301" s="343"/>
      <c r="P301" s="343"/>
    </row>
    <row r="302" spans="1:16" s="355" customFormat="1" ht="12.75" customHeight="1" x14ac:dyDescent="0.2">
      <c r="A302" s="338">
        <f t="shared" si="4"/>
        <v>301</v>
      </c>
      <c r="B302" s="338" t="s">
        <v>133</v>
      </c>
      <c r="C302" s="338">
        <v>2</v>
      </c>
      <c r="D302" s="338">
        <v>518</v>
      </c>
      <c r="E302" s="343" t="str">
        <f>VLOOKUP( T_Aop[[#This Row],[Id]], T_Aop[], ID_Jezik +10, 1)</f>
        <v>3</v>
      </c>
      <c r="F302" s="338" t="str">
        <f>REPT( "  ", T_Aop[[#This Row],[Aop nivo]]) &amp; VLOOKUP( T_Aop[[#This Row],[Id]], T_Aop[], ID_Jezik + 6, 1)</f>
        <v xml:space="preserve">    Prilivi po osnovu prodaje investicionih nekretnina</v>
      </c>
      <c r="G302" s="311" t="s">
        <v>1472</v>
      </c>
      <c r="H302" s="310" t="s">
        <v>1446</v>
      </c>
      <c r="I302" s="311" t="s">
        <v>1665</v>
      </c>
      <c r="J302" s="378" t="s">
        <v>2384</v>
      </c>
      <c r="K302" s="312" t="s">
        <v>304</v>
      </c>
      <c r="L302" s="312">
        <v>3</v>
      </c>
      <c r="M302" s="312" t="s">
        <v>304</v>
      </c>
      <c r="N302" s="342" t="s">
        <v>704</v>
      </c>
      <c r="O302" s="343"/>
      <c r="P302" s="343">
        <v>1</v>
      </c>
    </row>
    <row r="303" spans="1:16" s="355" customFormat="1" ht="12.75" customHeight="1" x14ac:dyDescent="0.2">
      <c r="A303" s="338">
        <f t="shared" si="4"/>
        <v>302</v>
      </c>
      <c r="B303" s="338" t="s">
        <v>133</v>
      </c>
      <c r="C303" s="338">
        <v>2</v>
      </c>
      <c r="D303" s="338">
        <v>519</v>
      </c>
      <c r="E303" s="343" t="str">
        <f>VLOOKUP( T_Aop[[#This Row],[Id]], T_Aop[], ID_Jezik +10, 1)</f>
        <v>4</v>
      </c>
      <c r="F303" s="338" t="str">
        <f>REPT( "  ", T_Aop[[#This Row],[Aop nivo]]) &amp; VLOOKUP( T_Aop[[#This Row],[Id]], T_Aop[], ID_Jezik + 6, 1)</f>
        <v xml:space="preserve">    Prilivi po osnovu prodaje bioloških sredstava</v>
      </c>
      <c r="G303" s="311" t="s">
        <v>1473</v>
      </c>
      <c r="H303" s="310" t="s">
        <v>1447</v>
      </c>
      <c r="I303" s="311" t="s">
        <v>1666</v>
      </c>
      <c r="J303" s="378" t="s">
        <v>2557</v>
      </c>
      <c r="K303" s="312" t="s">
        <v>333</v>
      </c>
      <c r="L303" s="312">
        <v>4</v>
      </c>
      <c r="M303" s="312" t="s">
        <v>333</v>
      </c>
      <c r="N303" s="342" t="s">
        <v>705</v>
      </c>
      <c r="O303" s="343"/>
      <c r="P303" s="343"/>
    </row>
    <row r="304" spans="1:16" s="355" customFormat="1" ht="12.75" customHeight="1" x14ac:dyDescent="0.2">
      <c r="A304" s="338">
        <f t="shared" si="4"/>
        <v>303</v>
      </c>
      <c r="B304" s="338" t="s">
        <v>133</v>
      </c>
      <c r="C304" s="338">
        <v>2</v>
      </c>
      <c r="D304" s="338">
        <v>520</v>
      </c>
      <c r="E304" s="343" t="str">
        <f>VLOOKUP( T_Aop[[#This Row],[Id]], T_Aop[], ID_Jezik +10, 1)</f>
        <v>5</v>
      </c>
      <c r="F304" s="338" t="str">
        <f>REPT( "  ", T_Aop[[#This Row],[Aop nivo]]) &amp; VLOOKUP( T_Aop[[#This Row],[Id]], T_Aop[], ID_Jezik + 6, 1)</f>
        <v xml:space="preserve">    Prilivi po osnovu prodaje nematerijalnih sredstava</v>
      </c>
      <c r="G304" s="311" t="s">
        <v>1474</v>
      </c>
      <c r="H304" s="310" t="s">
        <v>1448</v>
      </c>
      <c r="I304" s="311" t="s">
        <v>1667</v>
      </c>
      <c r="J304" s="378" t="s">
        <v>2385</v>
      </c>
      <c r="K304" s="312" t="s">
        <v>334</v>
      </c>
      <c r="L304" s="312">
        <v>5</v>
      </c>
      <c r="M304" s="312" t="s">
        <v>334</v>
      </c>
      <c r="N304" s="342" t="s">
        <v>706</v>
      </c>
      <c r="O304" s="343"/>
      <c r="P304" s="343"/>
    </row>
    <row r="305" spans="1:16" s="355" customFormat="1" ht="12.75" customHeight="1" x14ac:dyDescent="0.2">
      <c r="A305" s="338">
        <f t="shared" si="4"/>
        <v>304</v>
      </c>
      <c r="B305" s="338" t="s">
        <v>133</v>
      </c>
      <c r="C305" s="338">
        <v>2</v>
      </c>
      <c r="D305" s="338">
        <v>521</v>
      </c>
      <c r="E305" s="343" t="str">
        <f>VLOOKUP( T_Aop[[#This Row],[Id]], T_Aop[], ID_Jezik +10, 1)</f>
        <v>6</v>
      </c>
      <c r="F305" s="338" t="str">
        <f>REPT( "  ", T_Aop[[#This Row],[Aop nivo]]) &amp; VLOOKUP( T_Aop[[#This Row],[Id]], T_Aop[], ID_Jezik + 6, 1)</f>
        <v xml:space="preserve">    Prilivi po osnovu prodaje stalnih sredstava namijenjenih prodaji</v>
      </c>
      <c r="G305" s="311" t="s">
        <v>1475</v>
      </c>
      <c r="H305" s="310" t="s">
        <v>1449</v>
      </c>
      <c r="I305" s="327" t="s">
        <v>1668</v>
      </c>
      <c r="J305" s="378" t="s">
        <v>2386</v>
      </c>
      <c r="K305" s="312" t="s">
        <v>335</v>
      </c>
      <c r="L305" s="312">
        <v>6</v>
      </c>
      <c r="M305" s="312" t="s">
        <v>335</v>
      </c>
      <c r="N305" s="342" t="s">
        <v>707</v>
      </c>
      <c r="O305" s="343"/>
      <c r="P305" s="343"/>
    </row>
    <row r="306" spans="1:16" s="355" customFormat="1" ht="12.75" customHeight="1" x14ac:dyDescent="0.2">
      <c r="A306" s="338">
        <f t="shared" si="4"/>
        <v>305</v>
      </c>
      <c r="B306" s="338" t="s">
        <v>133</v>
      </c>
      <c r="C306" s="338">
        <v>2</v>
      </c>
      <c r="D306" s="338">
        <v>522</v>
      </c>
      <c r="E306" s="343" t="str">
        <f>VLOOKUP( T_Aop[[#This Row],[Id]], T_Aop[], ID_Jezik +10, 1)</f>
        <v>7</v>
      </c>
      <c r="F306" s="338" t="str">
        <f>REPT( "  ", T_Aop[[#This Row],[Aop nivo]]) &amp; VLOOKUP( T_Aop[[#This Row],[Id]], T_Aop[], ID_Jezik + 6, 1)</f>
        <v xml:space="preserve">    Prilivi od finansijskih sredstava po fer vrijednosti kroz ostali ukupni rezultat</v>
      </c>
      <c r="G306" s="311" t="s">
        <v>1476</v>
      </c>
      <c r="H306" s="310" t="s">
        <v>1450</v>
      </c>
      <c r="I306" s="327" t="s">
        <v>1669</v>
      </c>
      <c r="J306" s="378" t="s">
        <v>2387</v>
      </c>
      <c r="K306" s="312" t="s">
        <v>336</v>
      </c>
      <c r="L306" s="312">
        <v>7</v>
      </c>
      <c r="M306" s="312" t="s">
        <v>336</v>
      </c>
      <c r="N306" s="342" t="s">
        <v>708</v>
      </c>
      <c r="O306" s="343"/>
      <c r="P306" s="343"/>
    </row>
    <row r="307" spans="1:16" s="355" customFormat="1" ht="12.75" customHeight="1" x14ac:dyDescent="0.2">
      <c r="A307" s="338">
        <f t="shared" si="4"/>
        <v>306</v>
      </c>
      <c r="B307" s="338" t="s">
        <v>133</v>
      </c>
      <c r="C307" s="338">
        <v>2</v>
      </c>
      <c r="D307" s="338">
        <v>523</v>
      </c>
      <c r="E307" s="343" t="str">
        <f>VLOOKUP( T_Aop[[#This Row],[Id]], T_Aop[], ID_Jezik +10, 1)</f>
        <v>8</v>
      </c>
      <c r="F307" s="338" t="str">
        <f>REPT( "  ", T_Aop[[#This Row],[Aop nivo]]) &amp; VLOOKUP( T_Aop[[#This Row],[Id]], T_Aop[], ID_Jezik + 6, 1)</f>
        <v xml:space="preserve">    Prilivi od finansijskih sredstva po fer vrijednosti kroz bilans uspjeha</v>
      </c>
      <c r="G307" s="311" t="s">
        <v>1477</v>
      </c>
      <c r="H307" s="310" t="s">
        <v>1451</v>
      </c>
      <c r="I307" s="327" t="s">
        <v>1670</v>
      </c>
      <c r="J307" s="378" t="s">
        <v>2388</v>
      </c>
      <c r="K307" s="312" t="s">
        <v>337</v>
      </c>
      <c r="L307" s="312">
        <v>8</v>
      </c>
      <c r="M307" s="312" t="s">
        <v>337</v>
      </c>
      <c r="N307" s="342" t="s">
        <v>709</v>
      </c>
      <c r="O307" s="343"/>
      <c r="P307" s="343"/>
    </row>
    <row r="308" spans="1:16" s="355" customFormat="1" ht="12.75" customHeight="1" x14ac:dyDescent="0.2">
      <c r="A308" s="338">
        <f t="shared" si="4"/>
        <v>307</v>
      </c>
      <c r="B308" s="338" t="s">
        <v>133</v>
      </c>
      <c r="C308" s="338">
        <v>2</v>
      </c>
      <c r="D308" s="338">
        <v>524</v>
      </c>
      <c r="E308" s="343" t="str">
        <f>VLOOKUP( T_Aop[[#This Row],[Id]], T_Aop[], ID_Jezik +10, 1)</f>
        <v>9</v>
      </c>
      <c r="F308" s="338" t="str">
        <f>REPT( "  ", T_Aop[[#This Row],[Aop nivo]]) &amp; VLOOKUP( T_Aop[[#This Row],[Id]], T_Aop[], ID_Jezik + 6, 1)</f>
        <v xml:space="preserve">    Prilivi od ostalih finansijskih sredstava po amortizovanoj vrijednosti</v>
      </c>
      <c r="G308" s="311" t="s">
        <v>1478</v>
      </c>
      <c r="H308" s="310" t="s">
        <v>1452</v>
      </c>
      <c r="I308" s="327" t="s">
        <v>1671</v>
      </c>
      <c r="J308" s="378" t="s">
        <v>2389</v>
      </c>
      <c r="K308" s="312" t="s">
        <v>338</v>
      </c>
      <c r="L308" s="312">
        <v>9</v>
      </c>
      <c r="M308" s="312" t="s">
        <v>338</v>
      </c>
      <c r="N308" s="342" t="s">
        <v>710</v>
      </c>
      <c r="O308" s="343"/>
      <c r="P308" s="343"/>
    </row>
    <row r="309" spans="1:16" s="355" customFormat="1" ht="12.75" customHeight="1" x14ac:dyDescent="0.2">
      <c r="A309" s="338">
        <f t="shared" si="4"/>
        <v>308</v>
      </c>
      <c r="B309" s="338" t="s">
        <v>133</v>
      </c>
      <c r="C309" s="338">
        <v>2</v>
      </c>
      <c r="D309" s="338">
        <v>525</v>
      </c>
      <c r="E309" s="343" t="str">
        <f>VLOOKUP( T_Aop[[#This Row],[Id]], T_Aop[], ID_Jezik +10, 1)</f>
        <v>10</v>
      </c>
      <c r="F309" s="338" t="str">
        <f>REPT( "  ", T_Aop[[#This Row],[Aop nivo]]) &amp; VLOOKUP( T_Aop[[#This Row],[Id]], T_Aop[], ID_Jezik + 6, 1)</f>
        <v xml:space="preserve">    Prilivi po osnovu lizinga (glavnica)</v>
      </c>
      <c r="G309" s="311" t="s">
        <v>1479</v>
      </c>
      <c r="H309" s="310" t="s">
        <v>1453</v>
      </c>
      <c r="I309" s="327" t="s">
        <v>1672</v>
      </c>
      <c r="J309" s="378" t="s">
        <v>2390</v>
      </c>
      <c r="K309" s="312" t="s">
        <v>339</v>
      </c>
      <c r="L309" s="312">
        <v>10</v>
      </c>
      <c r="M309" s="312" t="s">
        <v>339</v>
      </c>
      <c r="N309" s="342" t="s">
        <v>711</v>
      </c>
      <c r="O309" s="343"/>
      <c r="P309" s="343">
        <v>1</v>
      </c>
    </row>
    <row r="310" spans="1:16" s="355" customFormat="1" ht="12.75" customHeight="1" x14ac:dyDescent="0.2">
      <c r="A310" s="338">
        <f t="shared" si="4"/>
        <v>309</v>
      </c>
      <c r="B310" s="338" t="s">
        <v>133</v>
      </c>
      <c r="C310" s="338">
        <v>2</v>
      </c>
      <c r="D310" s="338">
        <v>526</v>
      </c>
      <c r="E310" s="343" t="str">
        <f>VLOOKUP( T_Aop[[#This Row],[Id]], T_Aop[], ID_Jezik +10, 1)</f>
        <v>11</v>
      </c>
      <c r="F310" s="338" t="str">
        <f>REPT( "  ", T_Aop[[#This Row],[Aop nivo]]) &amp; VLOOKUP( T_Aop[[#This Row],[Id]], T_Aop[], ID_Jezik + 6, 1)</f>
        <v xml:space="preserve">    Prilivi po osnovu lizinga (kamata)</v>
      </c>
      <c r="G310" s="311" t="s">
        <v>1480</v>
      </c>
      <c r="H310" s="310" t="s">
        <v>1454</v>
      </c>
      <c r="I310" s="327" t="s">
        <v>1673</v>
      </c>
      <c r="J310" s="378" t="s">
        <v>2391</v>
      </c>
      <c r="K310" s="312" t="s">
        <v>779</v>
      </c>
      <c r="L310" s="312">
        <v>11</v>
      </c>
      <c r="M310" s="312" t="s">
        <v>779</v>
      </c>
      <c r="N310" s="342" t="s">
        <v>712</v>
      </c>
      <c r="O310" s="343"/>
      <c r="P310" s="343"/>
    </row>
    <row r="311" spans="1:16" s="355" customFormat="1" ht="12.75" customHeight="1" x14ac:dyDescent="0.2">
      <c r="A311" s="338">
        <f t="shared" si="4"/>
        <v>310</v>
      </c>
      <c r="B311" s="338" t="s">
        <v>133</v>
      </c>
      <c r="C311" s="338">
        <v>2</v>
      </c>
      <c r="D311" s="338">
        <v>527</v>
      </c>
      <c r="E311" s="343" t="str">
        <f>VLOOKUP( T_Aop[[#This Row],[Id]], T_Aop[], ID_Jezik +10, 1)</f>
        <v>12</v>
      </c>
      <c r="F311" s="338" t="str">
        <f>REPT( "  ", T_Aop[[#This Row],[Aop nivo]]) &amp; VLOOKUP( T_Aop[[#This Row],[Id]], T_Aop[], ID_Jezik + 6, 1)</f>
        <v xml:space="preserve">    Prilivi po osnovu kamata</v>
      </c>
      <c r="G311" s="311" t="s">
        <v>1481</v>
      </c>
      <c r="H311" s="310" t="s">
        <v>1455</v>
      </c>
      <c r="I311" s="327" t="s">
        <v>1674</v>
      </c>
      <c r="J311" s="378" t="s">
        <v>2392</v>
      </c>
      <c r="K311" s="312" t="s">
        <v>780</v>
      </c>
      <c r="L311" s="312">
        <v>12</v>
      </c>
      <c r="M311" s="312" t="s">
        <v>780</v>
      </c>
      <c r="N311" s="342" t="s">
        <v>713</v>
      </c>
      <c r="O311" s="343"/>
      <c r="P311" s="343"/>
    </row>
    <row r="312" spans="1:16" s="355" customFormat="1" ht="12.75" customHeight="1" x14ac:dyDescent="0.2">
      <c r="A312" s="338">
        <f t="shared" si="4"/>
        <v>311</v>
      </c>
      <c r="B312" s="338" t="s">
        <v>133</v>
      </c>
      <c r="C312" s="338">
        <v>2</v>
      </c>
      <c r="D312" s="338">
        <v>528</v>
      </c>
      <c r="E312" s="343" t="str">
        <f>VLOOKUP( T_Aop[[#This Row],[Id]], T_Aop[], ID_Jezik +10, 1)</f>
        <v>13</v>
      </c>
      <c r="F312" s="338" t="str">
        <f>REPT( "  ", T_Aop[[#This Row],[Aop nivo]]) &amp; VLOOKUP( T_Aop[[#This Row],[Id]], T_Aop[], ID_Jezik + 6, 1)</f>
        <v xml:space="preserve">    Prilivi od dividendi i učešća u dobiti</v>
      </c>
      <c r="G312" s="311" t="s">
        <v>1482</v>
      </c>
      <c r="H312" s="310" t="s">
        <v>1456</v>
      </c>
      <c r="I312" s="327" t="s">
        <v>1675</v>
      </c>
      <c r="J312" s="378" t="s">
        <v>2393</v>
      </c>
      <c r="K312" s="312" t="s">
        <v>1420</v>
      </c>
      <c r="L312" s="312">
        <v>13</v>
      </c>
      <c r="M312" s="312" t="s">
        <v>1420</v>
      </c>
      <c r="N312" s="342" t="s">
        <v>714</v>
      </c>
      <c r="O312" s="343"/>
      <c r="P312" s="343"/>
    </row>
    <row r="313" spans="1:16" s="355" customFormat="1" ht="12.75" customHeight="1" x14ac:dyDescent="0.2">
      <c r="A313" s="338">
        <f t="shared" si="4"/>
        <v>312</v>
      </c>
      <c r="B313" s="338" t="s">
        <v>133</v>
      </c>
      <c r="C313" s="338">
        <v>2</v>
      </c>
      <c r="D313" s="338">
        <v>529</v>
      </c>
      <c r="E313" s="343" t="str">
        <f>VLOOKUP( T_Aop[[#This Row],[Id]], T_Aop[], ID_Jezik +10, 1)</f>
        <v>14</v>
      </c>
      <c r="F313" s="338" t="str">
        <f>REPT( "  ", T_Aop[[#This Row],[Aop nivo]]) &amp; VLOOKUP( T_Aop[[#This Row],[Id]], T_Aop[], ID_Jezik + 6, 1)</f>
        <v xml:space="preserve">    Prilivi po osnovu derivatnih finansijskih instrumenata</v>
      </c>
      <c r="G313" s="311" t="s">
        <v>1483</v>
      </c>
      <c r="H313" s="310" t="s">
        <v>1457</v>
      </c>
      <c r="I313" s="311" t="s">
        <v>1676</v>
      </c>
      <c r="J313" s="378" t="s">
        <v>2394</v>
      </c>
      <c r="K313" s="312" t="s">
        <v>1421</v>
      </c>
      <c r="L313" s="312">
        <v>14</v>
      </c>
      <c r="M313" s="312" t="s">
        <v>1421</v>
      </c>
      <c r="N313" s="342" t="s">
        <v>715</v>
      </c>
      <c r="O313" s="343"/>
      <c r="P313" s="343"/>
    </row>
    <row r="314" spans="1:16" s="355" customFormat="1" ht="12.75" customHeight="1" x14ac:dyDescent="0.2">
      <c r="A314" s="338">
        <f t="shared" si="4"/>
        <v>313</v>
      </c>
      <c r="B314" s="338" t="s">
        <v>133</v>
      </c>
      <c r="C314" s="338">
        <v>2</v>
      </c>
      <c r="D314" s="338">
        <v>530</v>
      </c>
      <c r="E314" s="343" t="str">
        <f>VLOOKUP( T_Aop[[#This Row],[Id]], T_Aop[], ID_Jezik +10, 1)</f>
        <v>15</v>
      </c>
      <c r="F314" s="338" t="str">
        <f>REPT( "  ", T_Aop[[#This Row],[Aop nivo]]) &amp; VLOOKUP( T_Aop[[#This Row],[Id]], T_Aop[], ID_Jezik + 6, 1)</f>
        <v xml:space="preserve">    Ostali prilivi iz aktivnosti investiranja</v>
      </c>
      <c r="G314" s="311" t="s">
        <v>1365</v>
      </c>
      <c r="H314" s="310" t="s">
        <v>1326</v>
      </c>
      <c r="I314" s="311" t="s">
        <v>1677</v>
      </c>
      <c r="J314" s="378" t="s">
        <v>2395</v>
      </c>
      <c r="K314" s="312" t="s">
        <v>1422</v>
      </c>
      <c r="L314" s="312">
        <v>15</v>
      </c>
      <c r="M314" s="312" t="s">
        <v>1422</v>
      </c>
      <c r="N314" s="342" t="s">
        <v>2433</v>
      </c>
      <c r="O314" s="343"/>
      <c r="P314" s="343"/>
    </row>
    <row r="315" spans="1:16" s="355" customFormat="1" ht="12.75" customHeight="1" x14ac:dyDescent="0.2">
      <c r="A315" s="338">
        <f t="shared" si="4"/>
        <v>314</v>
      </c>
      <c r="B315" s="338" t="s">
        <v>133</v>
      </c>
      <c r="C315" s="338">
        <v>1</v>
      </c>
      <c r="D315" s="338">
        <v>531</v>
      </c>
      <c r="E315" s="343" t="str">
        <f>VLOOKUP( T_Aop[[#This Row],[Id]], T_Aop[], ID_Jezik +10, 1)</f>
        <v>II</v>
      </c>
      <c r="F315" s="338" t="str">
        <f>REPT( "  ", T_Aop[[#This Row],[Aop nivo]]) &amp; VLOOKUP( T_Aop[[#This Row],[Id]], T_Aop[], ID_Jezik + 6, 1)</f>
        <v xml:space="preserve">  Odlivi gotovine iz aktivnosti investiranja (532 do 541)</v>
      </c>
      <c r="G315" s="311" t="s">
        <v>1366</v>
      </c>
      <c r="H315" s="310" t="s">
        <v>1327</v>
      </c>
      <c r="I315" s="311" t="s">
        <v>1678</v>
      </c>
      <c r="J315" s="378" t="s">
        <v>2396</v>
      </c>
      <c r="K315" s="312" t="s">
        <v>1404</v>
      </c>
      <c r="L315" s="312" t="s">
        <v>1404</v>
      </c>
      <c r="M315" s="312" t="s">
        <v>1404</v>
      </c>
      <c r="N315" s="342" t="s">
        <v>1404</v>
      </c>
      <c r="O315" s="343"/>
      <c r="P315" s="343"/>
    </row>
    <row r="316" spans="1:16" s="355" customFormat="1" ht="12.75" customHeight="1" x14ac:dyDescent="0.2">
      <c r="A316" s="338">
        <f t="shared" si="4"/>
        <v>315</v>
      </c>
      <c r="B316" s="338" t="s">
        <v>133</v>
      </c>
      <c r="C316" s="338">
        <v>2</v>
      </c>
      <c r="D316" s="338">
        <v>532</v>
      </c>
      <c r="E316" s="343" t="str">
        <f>VLOOKUP( T_Aop[[#This Row],[Id]], T_Aop[], ID_Jezik +10, 1)</f>
        <v>1</v>
      </c>
      <c r="F316" s="338" t="str">
        <f>REPT( "  ", T_Aop[[#This Row],[Aop nivo]]) &amp; VLOOKUP( T_Aop[[#This Row],[Id]], T_Aop[], ID_Jezik + 6, 1)</f>
        <v xml:space="preserve">    Odlivi gotovine po osnovu kupovine akcija i udjela zavisnih i pridruženih društava i zajedničkih poduhvata</v>
      </c>
      <c r="G316" s="311" t="s">
        <v>1367</v>
      </c>
      <c r="H316" s="310" t="s">
        <v>1328</v>
      </c>
      <c r="I316" s="327" t="s">
        <v>1679</v>
      </c>
      <c r="J316" s="378" t="s">
        <v>2397</v>
      </c>
      <c r="K316" s="312" t="s">
        <v>741</v>
      </c>
      <c r="L316" s="312">
        <v>1</v>
      </c>
      <c r="M316" s="312" t="s">
        <v>741</v>
      </c>
      <c r="N316" s="342" t="s">
        <v>702</v>
      </c>
      <c r="O316" s="343"/>
      <c r="P316" s="343"/>
    </row>
    <row r="317" spans="1:16" s="355" customFormat="1" ht="12.75" customHeight="1" x14ac:dyDescent="0.2">
      <c r="A317" s="338">
        <f t="shared" si="4"/>
        <v>316</v>
      </c>
      <c r="B317" s="338" t="s">
        <v>133</v>
      </c>
      <c r="C317" s="338">
        <v>2</v>
      </c>
      <c r="D317" s="338">
        <v>533</v>
      </c>
      <c r="E317" s="343" t="str">
        <f>VLOOKUP( T_Aop[[#This Row],[Id]], T_Aop[], ID_Jezik +10, 1)</f>
        <v>2</v>
      </c>
      <c r="F317" s="338" t="str">
        <f>REPT( "  ", T_Aop[[#This Row],[Aop nivo]]) &amp; VLOOKUP( T_Aop[[#This Row],[Id]], T_Aop[], ID_Jezik + 6, 1)</f>
        <v xml:space="preserve">    Odlivi po osnovu kupovine nekretnina, postrojenja i opreme</v>
      </c>
      <c r="G317" s="311" t="s">
        <v>1368</v>
      </c>
      <c r="H317" s="310" t="s">
        <v>1329</v>
      </c>
      <c r="I317" s="311" t="s">
        <v>1680</v>
      </c>
      <c r="J317" s="378" t="s">
        <v>2398</v>
      </c>
      <c r="K317" s="312" t="s">
        <v>1418</v>
      </c>
      <c r="L317" s="312">
        <v>2</v>
      </c>
      <c r="M317" s="312" t="s">
        <v>1418</v>
      </c>
      <c r="N317" s="342" t="s">
        <v>703</v>
      </c>
      <c r="O317" s="343"/>
      <c r="P317" s="343"/>
    </row>
    <row r="318" spans="1:16" s="355" customFormat="1" ht="12.75" customHeight="1" x14ac:dyDescent="0.2">
      <c r="A318" s="338">
        <f t="shared" si="4"/>
        <v>317</v>
      </c>
      <c r="B318" s="338" t="s">
        <v>133</v>
      </c>
      <c r="C318" s="338">
        <v>2</v>
      </c>
      <c r="D318" s="338">
        <v>534</v>
      </c>
      <c r="E318" s="343" t="str">
        <f>VLOOKUP( T_Aop[[#This Row],[Id]], T_Aop[], ID_Jezik +10, 1)</f>
        <v>3</v>
      </c>
      <c r="F318" s="338" t="str">
        <f>REPT( "  ", T_Aop[[#This Row],[Aop nivo]]) &amp; VLOOKUP( T_Aop[[#This Row],[Id]], T_Aop[], ID_Jezik + 6, 1)</f>
        <v xml:space="preserve">    Odlivi po osnovu kupovine investicionih nekretnina</v>
      </c>
      <c r="G318" s="311" t="s">
        <v>1369</v>
      </c>
      <c r="H318" s="310" t="s">
        <v>1330</v>
      </c>
      <c r="I318" s="311" t="s">
        <v>1681</v>
      </c>
      <c r="J318" s="378" t="s">
        <v>2399</v>
      </c>
      <c r="K318" s="312" t="s">
        <v>304</v>
      </c>
      <c r="L318" s="312">
        <v>3</v>
      </c>
      <c r="M318" s="312" t="s">
        <v>304</v>
      </c>
      <c r="N318" s="342" t="s">
        <v>704</v>
      </c>
      <c r="O318" s="343"/>
      <c r="P318" s="343"/>
    </row>
    <row r="319" spans="1:16" s="355" customFormat="1" ht="12.75" customHeight="1" x14ac:dyDescent="0.2">
      <c r="A319" s="338">
        <f t="shared" si="4"/>
        <v>318</v>
      </c>
      <c r="B319" s="338" t="s">
        <v>133</v>
      </c>
      <c r="C319" s="338">
        <v>2</v>
      </c>
      <c r="D319" s="338">
        <v>535</v>
      </c>
      <c r="E319" s="343" t="str">
        <f>VLOOKUP( T_Aop[[#This Row],[Id]], T_Aop[], ID_Jezik +10, 1)</f>
        <v>4</v>
      </c>
      <c r="F319" s="338" t="str">
        <f>REPT( "  ", T_Aop[[#This Row],[Aop nivo]]) &amp; VLOOKUP( T_Aop[[#This Row],[Id]], T_Aop[], ID_Jezik + 6, 1)</f>
        <v xml:space="preserve">    Odlivi po osnovu kupovine bioloških sredstava</v>
      </c>
      <c r="G319" s="311" t="s">
        <v>1370</v>
      </c>
      <c r="H319" s="310" t="s">
        <v>1331</v>
      </c>
      <c r="I319" s="311" t="s">
        <v>1682</v>
      </c>
      <c r="J319" s="378" t="s">
        <v>2400</v>
      </c>
      <c r="K319" s="312" t="s">
        <v>333</v>
      </c>
      <c r="L319" s="312">
        <v>4</v>
      </c>
      <c r="M319" s="312" t="s">
        <v>333</v>
      </c>
      <c r="N319" s="342" t="s">
        <v>705</v>
      </c>
      <c r="O319" s="343"/>
      <c r="P319" s="343"/>
    </row>
    <row r="320" spans="1:16" s="355" customFormat="1" ht="12.75" customHeight="1" x14ac:dyDescent="0.2">
      <c r="A320" s="338">
        <f t="shared" si="4"/>
        <v>319</v>
      </c>
      <c r="B320" s="338" t="s">
        <v>133</v>
      </c>
      <c r="C320" s="338">
        <v>2</v>
      </c>
      <c r="D320" s="338">
        <v>536</v>
      </c>
      <c r="E320" s="343" t="str">
        <f>VLOOKUP( T_Aop[[#This Row],[Id]], T_Aop[], ID_Jezik +10, 1)</f>
        <v>5</v>
      </c>
      <c r="F320" s="338" t="str">
        <f>REPT( "  ", T_Aop[[#This Row],[Aop nivo]]) &amp; VLOOKUP( T_Aop[[#This Row],[Id]], T_Aop[], ID_Jezik + 6, 1)</f>
        <v xml:space="preserve">    Odlivi po osnovu kupovine nematerijalnih sredstava</v>
      </c>
      <c r="G320" s="311" t="s">
        <v>1371</v>
      </c>
      <c r="H320" s="310" t="s">
        <v>1332</v>
      </c>
      <c r="I320" s="311" t="s">
        <v>1683</v>
      </c>
      <c r="J320" s="378" t="s">
        <v>2401</v>
      </c>
      <c r="K320" s="312" t="s">
        <v>334</v>
      </c>
      <c r="L320" s="312">
        <v>5</v>
      </c>
      <c r="M320" s="312" t="s">
        <v>334</v>
      </c>
      <c r="N320" s="342" t="s">
        <v>706</v>
      </c>
      <c r="O320" s="343"/>
      <c r="P320" s="343"/>
    </row>
    <row r="321" spans="1:16" s="355" customFormat="1" ht="12.75" customHeight="1" x14ac:dyDescent="0.2">
      <c r="A321" s="338">
        <f t="shared" si="4"/>
        <v>320</v>
      </c>
      <c r="B321" s="338" t="s">
        <v>133</v>
      </c>
      <c r="C321" s="338">
        <v>2</v>
      </c>
      <c r="D321" s="338">
        <v>537</v>
      </c>
      <c r="E321" s="343" t="str">
        <f>VLOOKUP( T_Aop[[#This Row],[Id]], T_Aop[], ID_Jezik +10, 1)</f>
        <v>6</v>
      </c>
      <c r="F321" s="338" t="str">
        <f>REPT( "  ", T_Aop[[#This Row],[Aop nivo]]) &amp; VLOOKUP( T_Aop[[#This Row],[Id]], T_Aop[], ID_Jezik + 6, 1)</f>
        <v xml:space="preserve">    Odlivi po osnovu finansijskih sredstava po fer vrijednosti kroz ostali ukupni rezultat</v>
      </c>
      <c r="G321" s="311" t="s">
        <v>1372</v>
      </c>
      <c r="H321" s="310" t="s">
        <v>1333</v>
      </c>
      <c r="I321" s="311" t="s">
        <v>1684</v>
      </c>
      <c r="J321" s="378" t="s">
        <v>2402</v>
      </c>
      <c r="K321" s="312" t="s">
        <v>335</v>
      </c>
      <c r="L321" s="312">
        <v>6</v>
      </c>
      <c r="M321" s="312" t="s">
        <v>335</v>
      </c>
      <c r="N321" s="342" t="s">
        <v>707</v>
      </c>
      <c r="O321" s="343"/>
      <c r="P321" s="343"/>
    </row>
    <row r="322" spans="1:16" s="355" customFormat="1" ht="12.75" customHeight="1" x14ac:dyDescent="0.2">
      <c r="A322" s="338">
        <f t="shared" ref="A322:A385" si="5">ROW()-ROW($A$1)</f>
        <v>321</v>
      </c>
      <c r="B322" s="338" t="s">
        <v>133</v>
      </c>
      <c r="C322" s="338">
        <v>2</v>
      </c>
      <c r="D322" s="338">
        <v>538</v>
      </c>
      <c r="E322" s="343" t="str">
        <f>VLOOKUP( T_Aop[[#This Row],[Id]], T_Aop[], ID_Jezik +10, 1)</f>
        <v>7</v>
      </c>
      <c r="F322" s="338" t="str">
        <f>REPT( "  ", T_Aop[[#This Row],[Aop nivo]]) &amp; VLOOKUP( T_Aop[[#This Row],[Id]], T_Aop[], ID_Jezik + 6, 1)</f>
        <v xml:space="preserve">    Odlivi po osnovu finansijskih sredstva po fer vrijednosti kroz bilans uspjeha</v>
      </c>
      <c r="G322" s="311" t="s">
        <v>1373</v>
      </c>
      <c r="H322" s="310" t="s">
        <v>1334</v>
      </c>
      <c r="I322" s="311" t="s">
        <v>1685</v>
      </c>
      <c r="J322" s="378" t="s">
        <v>2403</v>
      </c>
      <c r="K322" s="312" t="s">
        <v>336</v>
      </c>
      <c r="L322" s="312">
        <v>7</v>
      </c>
      <c r="M322" s="312" t="s">
        <v>336</v>
      </c>
      <c r="N322" s="342" t="s">
        <v>708</v>
      </c>
      <c r="O322" s="343"/>
      <c r="P322" s="343"/>
    </row>
    <row r="323" spans="1:16" s="355" customFormat="1" ht="12.75" customHeight="1" x14ac:dyDescent="0.2">
      <c r="A323" s="338">
        <f t="shared" si="5"/>
        <v>322</v>
      </c>
      <c r="B323" s="338" t="s">
        <v>133</v>
      </c>
      <c r="C323" s="338">
        <v>2</v>
      </c>
      <c r="D323" s="338">
        <v>539</v>
      </c>
      <c r="E323" s="343" t="str">
        <f>VLOOKUP( T_Aop[[#This Row],[Id]], T_Aop[], ID_Jezik +10, 1)</f>
        <v>8</v>
      </c>
      <c r="F323" s="338" t="str">
        <f>REPT( "  ", T_Aop[[#This Row],[Aop nivo]]) &amp; VLOOKUP( T_Aop[[#This Row],[Id]], T_Aop[], ID_Jezik + 6, 1)</f>
        <v xml:space="preserve">    Odlivi po osnovu ostalih finansijskih sredstava po amortizovanoj vrijednosti</v>
      </c>
      <c r="G323" s="311" t="s">
        <v>1374</v>
      </c>
      <c r="H323" s="310" t="s">
        <v>1335</v>
      </c>
      <c r="I323" s="311" t="s">
        <v>1686</v>
      </c>
      <c r="J323" s="378" t="s">
        <v>2404</v>
      </c>
      <c r="K323" s="312" t="s">
        <v>337</v>
      </c>
      <c r="L323" s="312">
        <v>8</v>
      </c>
      <c r="M323" s="312" t="s">
        <v>337</v>
      </c>
      <c r="N323" s="342" t="s">
        <v>709</v>
      </c>
      <c r="O323" s="343"/>
      <c r="P323" s="343"/>
    </row>
    <row r="324" spans="1:16" s="355" customFormat="1" ht="12.75" customHeight="1" x14ac:dyDescent="0.2">
      <c r="A324" s="338">
        <f t="shared" si="5"/>
        <v>323</v>
      </c>
      <c r="B324" s="338" t="s">
        <v>133</v>
      </c>
      <c r="C324" s="338">
        <v>2</v>
      </c>
      <c r="D324" s="338">
        <v>540</v>
      </c>
      <c r="E324" s="343" t="str">
        <f>VLOOKUP( T_Aop[[#This Row],[Id]], T_Aop[], ID_Jezik +10, 1)</f>
        <v>9</v>
      </c>
      <c r="F324" s="338" t="str">
        <f>REPT( "  ", T_Aop[[#This Row],[Aop nivo]]) &amp; VLOOKUP( T_Aop[[#This Row],[Id]], T_Aop[], ID_Jezik + 6, 1)</f>
        <v xml:space="preserve">    Odlivi po osnovu derivatnih finansijskih instrumenata</v>
      </c>
      <c r="G324" s="311" t="s">
        <v>1375</v>
      </c>
      <c r="H324" s="310" t="s">
        <v>1336</v>
      </c>
      <c r="I324" s="311" t="s">
        <v>1687</v>
      </c>
      <c r="J324" s="378" t="s">
        <v>2405</v>
      </c>
      <c r="K324" s="312" t="s">
        <v>338</v>
      </c>
      <c r="L324" s="312">
        <v>9</v>
      </c>
      <c r="M324" s="312" t="s">
        <v>338</v>
      </c>
      <c r="N324" s="342" t="s">
        <v>710</v>
      </c>
      <c r="O324" s="343"/>
      <c r="P324" s="343"/>
    </row>
    <row r="325" spans="1:16" s="355" customFormat="1" ht="12.75" customHeight="1" x14ac:dyDescent="0.2">
      <c r="A325" s="338">
        <f t="shared" si="5"/>
        <v>324</v>
      </c>
      <c r="B325" s="338" t="s">
        <v>133</v>
      </c>
      <c r="C325" s="338">
        <v>2</v>
      </c>
      <c r="D325" s="338">
        <v>541</v>
      </c>
      <c r="E325" s="343" t="str">
        <f>VLOOKUP( T_Aop[[#This Row],[Id]], T_Aop[], ID_Jezik +10, 1)</f>
        <v>10</v>
      </c>
      <c r="F325" s="338" t="str">
        <f>REPT( "  ", T_Aop[[#This Row],[Aop nivo]]) &amp; VLOOKUP( T_Aop[[#This Row],[Id]], T_Aop[], ID_Jezik + 6, 1)</f>
        <v xml:space="preserve">    Ostali odlivi iz aktivnosti investiranja</v>
      </c>
      <c r="G325" s="311" t="s">
        <v>1376</v>
      </c>
      <c r="H325" s="310" t="s">
        <v>1337</v>
      </c>
      <c r="I325" s="311" t="s">
        <v>1688</v>
      </c>
      <c r="J325" s="378" t="s">
        <v>2406</v>
      </c>
      <c r="K325" s="312" t="s">
        <v>339</v>
      </c>
      <c r="L325" s="312">
        <v>10</v>
      </c>
      <c r="M325" s="312" t="s">
        <v>339</v>
      </c>
      <c r="N325" s="342" t="s">
        <v>711</v>
      </c>
      <c r="O325" s="343"/>
      <c r="P325" s="343"/>
    </row>
    <row r="326" spans="1:16" s="355" customFormat="1" ht="12.75" customHeight="1" x14ac:dyDescent="0.2">
      <c r="A326" s="338">
        <f t="shared" si="5"/>
        <v>325</v>
      </c>
      <c r="B326" s="338" t="s">
        <v>133</v>
      </c>
      <c r="C326" s="338">
        <v>1</v>
      </c>
      <c r="D326" s="338">
        <v>542</v>
      </c>
      <c r="E326" s="343" t="str">
        <f>VLOOKUP( T_Aop[[#This Row],[Id]], T_Aop[], ID_Jezik +10, 1)</f>
        <v>III</v>
      </c>
      <c r="F326" s="338" t="str">
        <f>REPT( "  ", T_Aop[[#This Row],[Aop nivo]]) &amp; VLOOKUP( T_Aop[[#This Row],[Id]], T_Aop[], ID_Jezik + 6, 1)</f>
        <v xml:space="preserve">  Neto priliv gotovine iz aktivnosti investiranja (515-531)</v>
      </c>
      <c r="G326" s="311" t="s">
        <v>1377</v>
      </c>
      <c r="H326" s="310" t="s">
        <v>1338</v>
      </c>
      <c r="I326" s="311" t="s">
        <v>1689</v>
      </c>
      <c r="J326" s="378" t="s">
        <v>2407</v>
      </c>
      <c r="K326" s="312" t="s">
        <v>1405</v>
      </c>
      <c r="L326" s="312" t="s">
        <v>1405</v>
      </c>
      <c r="M326" s="312" t="s">
        <v>1405</v>
      </c>
      <c r="N326" s="342" t="s">
        <v>1405</v>
      </c>
      <c r="O326" s="343">
        <v>1</v>
      </c>
      <c r="P326" s="343"/>
    </row>
    <row r="327" spans="1:16" s="355" customFormat="1" ht="12.75" customHeight="1" x14ac:dyDescent="0.2">
      <c r="A327" s="338">
        <f t="shared" si="5"/>
        <v>326</v>
      </c>
      <c r="B327" s="338" t="s">
        <v>133</v>
      </c>
      <c r="C327" s="338">
        <v>1</v>
      </c>
      <c r="D327" s="338">
        <v>543</v>
      </c>
      <c r="E327" s="343" t="str">
        <f>VLOOKUP( T_Aop[[#This Row],[Id]], T_Aop[], ID_Jezik +10, 1)</f>
        <v>IV</v>
      </c>
      <c r="F327" s="338" t="str">
        <f>REPT( "  ", T_Aop[[#This Row],[Aop nivo]]) &amp; VLOOKUP( T_Aop[[#This Row],[Id]], T_Aop[], ID_Jezik + 6, 1)</f>
        <v xml:space="preserve">  Neto odliv gotovine iz aktivnosti investiranja (531 – 515)</v>
      </c>
      <c r="G327" s="311" t="s">
        <v>1378</v>
      </c>
      <c r="H327" s="310" t="s">
        <v>1339</v>
      </c>
      <c r="I327" s="311" t="s">
        <v>1690</v>
      </c>
      <c r="J327" s="378" t="s">
        <v>2408</v>
      </c>
      <c r="K327" s="312" t="s">
        <v>1406</v>
      </c>
      <c r="L327" s="312" t="s">
        <v>1406</v>
      </c>
      <c r="M327" s="312" t="s">
        <v>1406</v>
      </c>
      <c r="N327" s="342" t="s">
        <v>1406</v>
      </c>
      <c r="O327" s="343">
        <v>1</v>
      </c>
      <c r="P327" s="343"/>
    </row>
    <row r="328" spans="1:16" s="355" customFormat="1" ht="25.5" customHeight="1" x14ac:dyDescent="0.2">
      <c r="A328" s="338">
        <f t="shared" si="5"/>
        <v>327</v>
      </c>
      <c r="B328" s="338" t="s">
        <v>133</v>
      </c>
      <c r="C328" s="338">
        <v>0</v>
      </c>
      <c r="D328" s="338">
        <v>544</v>
      </c>
      <c r="E328" s="343" t="str">
        <f>VLOOKUP( T_Aop[[#This Row],[Id]], T_Aop[], ID_Jezik +10, 1)</f>
        <v>B_x000D_
I</v>
      </c>
      <c r="F328" s="364" t="str">
        <f>REPT( "  ", T_Aop[[#This Row],[Aop nivo]]) &amp; VLOOKUP( T_Aop[[#This Row],[Id]], T_Aop[], ID_Jezik + 6, 1)</f>
        <v>TOKOVI GOTOVINE IZ AKTIVNOSTI FINANSIRANJA
Prilivi gotovine iz aktivnosti finansiranja (545 do 550)</v>
      </c>
      <c r="G328" s="472" t="s">
        <v>2873</v>
      </c>
      <c r="H328" s="310" t="s">
        <v>1340</v>
      </c>
      <c r="I328" s="341" t="s">
        <v>2865</v>
      </c>
      <c r="J328" s="378" t="s">
        <v>2484</v>
      </c>
      <c r="K328" s="312" t="s">
        <v>1419</v>
      </c>
      <c r="L328" s="312" t="s">
        <v>1408</v>
      </c>
      <c r="M328" s="312" t="s">
        <v>1419</v>
      </c>
      <c r="N328" s="342" t="s">
        <v>2436</v>
      </c>
      <c r="O328" s="343">
        <v>1</v>
      </c>
      <c r="P328" s="343"/>
    </row>
    <row r="329" spans="1:16" s="355" customFormat="1" ht="12.75" customHeight="1" x14ac:dyDescent="0.2">
      <c r="A329" s="338">
        <f t="shared" si="5"/>
        <v>328</v>
      </c>
      <c r="B329" s="338" t="s">
        <v>133</v>
      </c>
      <c r="C329" s="338">
        <v>2</v>
      </c>
      <c r="D329" s="338">
        <v>545</v>
      </c>
      <c r="E329" s="343" t="str">
        <f>VLOOKUP( T_Aop[[#This Row],[Id]], T_Aop[], ID_Jezik +10, 1)</f>
        <v>1</v>
      </c>
      <c r="F329" s="338" t="str">
        <f>REPT( "  ", T_Aop[[#This Row],[Aop nivo]]) &amp; VLOOKUP( T_Aop[[#This Row],[Id]], T_Aop[], ID_Jezik + 6, 1)</f>
        <v xml:space="preserve">    Prilivi po osnovu povećanja osnovnog kapitala</v>
      </c>
      <c r="G329" s="311" t="s">
        <v>1379</v>
      </c>
      <c r="H329" s="310" t="s">
        <v>1341</v>
      </c>
      <c r="I329" s="311" t="s">
        <v>1691</v>
      </c>
      <c r="J329" s="378" t="s">
        <v>2409</v>
      </c>
      <c r="K329" s="312" t="s">
        <v>741</v>
      </c>
      <c r="L329" s="312">
        <v>1</v>
      </c>
      <c r="M329" s="312" t="s">
        <v>741</v>
      </c>
      <c r="N329" s="342" t="s">
        <v>702</v>
      </c>
      <c r="O329" s="343"/>
      <c r="P329" s="343"/>
    </row>
    <row r="330" spans="1:16" s="355" customFormat="1" ht="12.75" customHeight="1" x14ac:dyDescent="0.2">
      <c r="A330" s="338">
        <f t="shared" si="5"/>
        <v>329</v>
      </c>
      <c r="B330" s="338" t="s">
        <v>133</v>
      </c>
      <c r="C330" s="338">
        <v>2</v>
      </c>
      <c r="D330" s="338">
        <v>546</v>
      </c>
      <c r="E330" s="343" t="str">
        <f>VLOOKUP( T_Aop[[#This Row],[Id]], T_Aop[], ID_Jezik +10, 1)</f>
        <v>2</v>
      </c>
      <c r="F330" s="338" t="str">
        <f>REPT( "  ", T_Aop[[#This Row],[Aop nivo]]) &amp; VLOOKUP( T_Aop[[#This Row],[Id]], T_Aop[], ID_Jezik + 6, 1)</f>
        <v xml:space="preserve">    Prilivi od prodaje otkupljenih sopstvenih akcija</v>
      </c>
      <c r="G330" s="311" t="s">
        <v>1380</v>
      </c>
      <c r="H330" s="310" t="s">
        <v>1342</v>
      </c>
      <c r="I330" s="327" t="s">
        <v>1692</v>
      </c>
      <c r="J330" s="378" t="s">
        <v>2410</v>
      </c>
      <c r="K330" s="312" t="s">
        <v>1418</v>
      </c>
      <c r="L330" s="312">
        <v>2</v>
      </c>
      <c r="M330" s="312" t="s">
        <v>1418</v>
      </c>
      <c r="N330" s="342" t="s">
        <v>703</v>
      </c>
      <c r="O330" s="343"/>
      <c r="P330" s="343"/>
    </row>
    <row r="331" spans="1:16" s="355" customFormat="1" ht="12.75" customHeight="1" x14ac:dyDescent="0.2">
      <c r="A331" s="338">
        <f t="shared" si="5"/>
        <v>330</v>
      </c>
      <c r="B331" s="338" t="s">
        <v>133</v>
      </c>
      <c r="C331" s="338">
        <v>2</v>
      </c>
      <c r="D331" s="338">
        <v>547</v>
      </c>
      <c r="E331" s="343" t="str">
        <f>VLOOKUP( T_Aop[[#This Row],[Id]], T_Aop[], ID_Jezik +10, 1)</f>
        <v>3</v>
      </c>
      <c r="F331" s="338" t="str">
        <f>REPT( "  ", T_Aop[[#This Row],[Aop nivo]]) &amp; VLOOKUP( T_Aop[[#This Row],[Id]], T_Aop[], ID_Jezik + 6, 1)</f>
        <v xml:space="preserve">    Prilivi po osnovu dugoročnih kredita</v>
      </c>
      <c r="G331" s="311" t="s">
        <v>1381</v>
      </c>
      <c r="H331" s="310" t="s">
        <v>1343</v>
      </c>
      <c r="I331" s="311" t="s">
        <v>1693</v>
      </c>
      <c r="J331" s="378" t="s">
        <v>2411</v>
      </c>
      <c r="K331" s="312" t="s">
        <v>304</v>
      </c>
      <c r="L331" s="312">
        <v>3</v>
      </c>
      <c r="M331" s="312" t="s">
        <v>304</v>
      </c>
      <c r="N331" s="342" t="s">
        <v>704</v>
      </c>
      <c r="O331" s="343"/>
      <c r="P331" s="343"/>
    </row>
    <row r="332" spans="1:16" s="355" customFormat="1" ht="12.75" customHeight="1" x14ac:dyDescent="0.2">
      <c r="A332" s="338">
        <f t="shared" si="5"/>
        <v>331</v>
      </c>
      <c r="B332" s="338" t="s">
        <v>133</v>
      </c>
      <c r="C332" s="338">
        <v>2</v>
      </c>
      <c r="D332" s="338">
        <v>548</v>
      </c>
      <c r="E332" s="343" t="str">
        <f>VLOOKUP( T_Aop[[#This Row],[Id]], T_Aop[], ID_Jezik +10, 1)</f>
        <v>4</v>
      </c>
      <c r="F332" s="338" t="str">
        <f>REPT( "  ", T_Aop[[#This Row],[Aop nivo]]) &amp; VLOOKUP( T_Aop[[#This Row],[Id]], T_Aop[], ID_Jezik + 6, 1)</f>
        <v xml:space="preserve">    Prilivi po osnovu kratkoročnih kredita</v>
      </c>
      <c r="G332" s="311" t="s">
        <v>1382</v>
      </c>
      <c r="H332" s="310" t="s">
        <v>1344</v>
      </c>
      <c r="I332" s="311" t="s">
        <v>1694</v>
      </c>
      <c r="J332" s="378" t="s">
        <v>2412</v>
      </c>
      <c r="K332" s="312" t="s">
        <v>333</v>
      </c>
      <c r="L332" s="312">
        <v>4</v>
      </c>
      <c r="M332" s="312" t="s">
        <v>333</v>
      </c>
      <c r="N332" s="342" t="s">
        <v>705</v>
      </c>
      <c r="O332" s="343"/>
      <c r="P332" s="343"/>
    </row>
    <row r="333" spans="1:16" s="355" customFormat="1" ht="12.75" customHeight="1" x14ac:dyDescent="0.2">
      <c r="A333" s="338">
        <f t="shared" si="5"/>
        <v>332</v>
      </c>
      <c r="B333" s="338" t="s">
        <v>133</v>
      </c>
      <c r="C333" s="338">
        <v>2</v>
      </c>
      <c r="D333" s="338">
        <v>549</v>
      </c>
      <c r="E333" s="343" t="str">
        <f>VLOOKUP( T_Aop[[#This Row],[Id]], T_Aop[], ID_Jezik +10, 1)</f>
        <v>5</v>
      </c>
      <c r="F333" s="338" t="str">
        <f>REPT( "  ", T_Aop[[#This Row],[Aop nivo]]) &amp; VLOOKUP( T_Aop[[#This Row],[Id]], T_Aop[], ID_Jezik + 6, 1)</f>
        <v xml:space="preserve">    Prilivi po osnovu izdatih dužničkih instrumenta</v>
      </c>
      <c r="G333" s="311" t="s">
        <v>1383</v>
      </c>
      <c r="H333" s="310" t="s">
        <v>1345</v>
      </c>
      <c r="I333" s="311" t="s">
        <v>1695</v>
      </c>
      <c r="J333" s="378" t="s">
        <v>2413</v>
      </c>
      <c r="K333" s="312" t="s">
        <v>334</v>
      </c>
      <c r="L333" s="312">
        <v>5</v>
      </c>
      <c r="M333" s="312" t="s">
        <v>334</v>
      </c>
      <c r="N333" s="342" t="s">
        <v>706</v>
      </c>
      <c r="O333" s="343"/>
      <c r="P333" s="343"/>
    </row>
    <row r="334" spans="1:16" s="355" customFormat="1" ht="12.75" customHeight="1" x14ac:dyDescent="0.2">
      <c r="A334" s="338">
        <f t="shared" si="5"/>
        <v>333</v>
      </c>
      <c r="B334" s="338" t="s">
        <v>133</v>
      </c>
      <c r="C334" s="338">
        <v>2</v>
      </c>
      <c r="D334" s="338">
        <v>550</v>
      </c>
      <c r="E334" s="343" t="str">
        <f>VLOOKUP( T_Aop[[#This Row],[Id]], T_Aop[], ID_Jezik +10, 1)</f>
        <v>6</v>
      </c>
      <c r="F334" s="338" t="str">
        <f>REPT( "  ", T_Aop[[#This Row],[Aop nivo]]) &amp; VLOOKUP( T_Aop[[#This Row],[Id]], T_Aop[], ID_Jezik + 6, 1)</f>
        <v xml:space="preserve">    Ostali prilivi iz aktivnosti finansiranja </v>
      </c>
      <c r="G334" s="311" t="s">
        <v>1384</v>
      </c>
      <c r="H334" s="310" t="s">
        <v>1346</v>
      </c>
      <c r="I334" s="311" t="s">
        <v>1696</v>
      </c>
      <c r="J334" s="378" t="s">
        <v>2414</v>
      </c>
      <c r="K334" s="312" t="s">
        <v>335</v>
      </c>
      <c r="L334" s="312">
        <v>6</v>
      </c>
      <c r="M334" s="312" t="s">
        <v>335</v>
      </c>
      <c r="N334" s="342" t="s">
        <v>707</v>
      </c>
      <c r="O334" s="343"/>
      <c r="P334" s="343"/>
    </row>
    <row r="335" spans="1:16" s="355" customFormat="1" ht="12.75" customHeight="1" x14ac:dyDescent="0.2">
      <c r="A335" s="338">
        <f t="shared" si="5"/>
        <v>334</v>
      </c>
      <c r="B335" s="338" t="s">
        <v>133</v>
      </c>
      <c r="C335" s="338">
        <v>2</v>
      </c>
      <c r="D335" s="338">
        <v>551</v>
      </c>
      <c r="E335" s="343" t="str">
        <f>VLOOKUP( T_Aop[[#This Row],[Id]], T_Aop[], ID_Jezik +10, 1)</f>
        <v>II</v>
      </c>
      <c r="F335" s="338" t="str">
        <f>REPT( "  ", T_Aop[[#This Row],[Aop nivo]]) &amp; VLOOKUP( T_Aop[[#This Row],[Id]], T_Aop[], ID_Jezik + 6, 1)</f>
        <v xml:space="preserve">    Odlivi gotovine iz aktivnosti finansiranja (552 do 558)</v>
      </c>
      <c r="G335" s="311" t="s">
        <v>1385</v>
      </c>
      <c r="H335" s="310" t="s">
        <v>1347</v>
      </c>
      <c r="I335" s="311" t="s">
        <v>1697</v>
      </c>
      <c r="J335" s="378" t="s">
        <v>2415</v>
      </c>
      <c r="K335" s="312" t="s">
        <v>1404</v>
      </c>
      <c r="L335" s="312" t="s">
        <v>1404</v>
      </c>
      <c r="M335" s="312" t="s">
        <v>1404</v>
      </c>
      <c r="N335" s="342" t="s">
        <v>1404</v>
      </c>
      <c r="O335" s="343"/>
      <c r="P335" s="343"/>
    </row>
    <row r="336" spans="1:16" s="355" customFormat="1" ht="12.75" customHeight="1" x14ac:dyDescent="0.2">
      <c r="A336" s="338">
        <f t="shared" si="5"/>
        <v>335</v>
      </c>
      <c r="B336" s="338" t="s">
        <v>133</v>
      </c>
      <c r="C336" s="338">
        <v>2</v>
      </c>
      <c r="D336" s="338">
        <v>552</v>
      </c>
      <c r="E336" s="343" t="str">
        <f>VLOOKUP( T_Aop[[#This Row],[Id]], T_Aop[], ID_Jezik +10, 1)</f>
        <v>1</v>
      </c>
      <c r="F336" s="338" t="str">
        <f>REPT( "  ", T_Aop[[#This Row],[Aop nivo]]) &amp; VLOOKUP( T_Aop[[#This Row],[Id]], T_Aop[], ID_Jezik + 6, 1)</f>
        <v xml:space="preserve">    Odlivi po osnovu otkupa sopstvenih akcija i udjela</v>
      </c>
      <c r="G336" s="311" t="s">
        <v>1386</v>
      </c>
      <c r="H336" s="310" t="s">
        <v>1348</v>
      </c>
      <c r="I336" s="311" t="s">
        <v>1698</v>
      </c>
      <c r="J336" s="378" t="s">
        <v>2416</v>
      </c>
      <c r="K336" s="312" t="s">
        <v>741</v>
      </c>
      <c r="L336" s="312">
        <v>1</v>
      </c>
      <c r="M336" s="312" t="s">
        <v>741</v>
      </c>
      <c r="N336" s="342" t="s">
        <v>702</v>
      </c>
      <c r="O336" s="343"/>
      <c r="P336" s="343"/>
    </row>
    <row r="337" spans="1:16" s="355" customFormat="1" ht="12.75" customHeight="1" x14ac:dyDescent="0.2">
      <c r="A337" s="338">
        <f t="shared" si="5"/>
        <v>336</v>
      </c>
      <c r="B337" s="338" t="s">
        <v>133</v>
      </c>
      <c r="C337" s="338">
        <v>2</v>
      </c>
      <c r="D337" s="338">
        <v>553</v>
      </c>
      <c r="E337" s="343" t="str">
        <f>VLOOKUP( T_Aop[[#This Row],[Id]], T_Aop[], ID_Jezik +10, 1)</f>
        <v>2</v>
      </c>
      <c r="F337" s="338" t="str">
        <f>REPT( "  ", T_Aop[[#This Row],[Aop nivo]]) &amp; VLOOKUP( T_Aop[[#This Row],[Id]], T_Aop[], ID_Jezik + 6, 1)</f>
        <v xml:space="preserve">    Odlivi po osnovu dugoročnih kredita </v>
      </c>
      <c r="G337" s="311" t="s">
        <v>1387</v>
      </c>
      <c r="H337" s="310" t="s">
        <v>1349</v>
      </c>
      <c r="I337" s="311" t="s">
        <v>1699</v>
      </c>
      <c r="J337" s="378" t="s">
        <v>2417</v>
      </c>
      <c r="K337" s="312" t="s">
        <v>1418</v>
      </c>
      <c r="L337" s="312">
        <v>2</v>
      </c>
      <c r="M337" s="312" t="s">
        <v>1418</v>
      </c>
      <c r="N337" s="342" t="s">
        <v>703</v>
      </c>
      <c r="O337" s="343"/>
      <c r="P337" s="343"/>
    </row>
    <row r="338" spans="1:16" s="355" customFormat="1" ht="12.75" customHeight="1" x14ac:dyDescent="0.2">
      <c r="A338" s="338">
        <f t="shared" si="5"/>
        <v>337</v>
      </c>
      <c r="B338" s="338" t="s">
        <v>133</v>
      </c>
      <c r="C338" s="338">
        <v>2</v>
      </c>
      <c r="D338" s="338">
        <v>554</v>
      </c>
      <c r="E338" s="343" t="str">
        <f>VLOOKUP( T_Aop[[#This Row],[Id]], T_Aop[], ID_Jezik +10, 1)</f>
        <v>3</v>
      </c>
      <c r="F338" s="338" t="str">
        <f>REPT( "  ", T_Aop[[#This Row],[Aop nivo]]) &amp; VLOOKUP( T_Aop[[#This Row],[Id]], T_Aop[], ID_Jezik + 6, 1)</f>
        <v xml:space="preserve">    Odlivi po osnovu kratkoročnih kredita </v>
      </c>
      <c r="G338" s="311" t="s">
        <v>1388</v>
      </c>
      <c r="H338" s="310" t="s">
        <v>1350</v>
      </c>
      <c r="I338" s="311" t="s">
        <v>1700</v>
      </c>
      <c r="J338" s="378" t="s">
        <v>2418</v>
      </c>
      <c r="K338" s="312" t="s">
        <v>304</v>
      </c>
      <c r="L338" s="312">
        <v>3</v>
      </c>
      <c r="M338" s="312" t="s">
        <v>304</v>
      </c>
      <c r="N338" s="342" t="s">
        <v>704</v>
      </c>
      <c r="O338" s="343"/>
      <c r="P338" s="343"/>
    </row>
    <row r="339" spans="1:16" s="355" customFormat="1" ht="12.75" customHeight="1" x14ac:dyDescent="0.2">
      <c r="A339" s="338">
        <f t="shared" si="5"/>
        <v>338</v>
      </c>
      <c r="B339" s="338" t="s">
        <v>133</v>
      </c>
      <c r="C339" s="338">
        <v>2</v>
      </c>
      <c r="D339" s="338">
        <v>555</v>
      </c>
      <c r="E339" s="343" t="str">
        <f>VLOOKUP( T_Aop[[#This Row],[Id]], T_Aop[], ID_Jezik +10, 1)</f>
        <v>4</v>
      </c>
      <c r="F339" s="338" t="str">
        <f>REPT( "  ", T_Aop[[#This Row],[Aop nivo]]) &amp; VLOOKUP( T_Aop[[#This Row],[Id]], T_Aop[], ID_Jezik + 6, 1)</f>
        <v xml:space="preserve">    Odlivi po osnovu lizinga </v>
      </c>
      <c r="G339" s="311" t="s">
        <v>1389</v>
      </c>
      <c r="H339" s="310" t="s">
        <v>1351</v>
      </c>
      <c r="I339" s="311" t="s">
        <v>1701</v>
      </c>
      <c r="J339" s="378" t="s">
        <v>2419</v>
      </c>
      <c r="K339" s="312" t="s">
        <v>333</v>
      </c>
      <c r="L339" s="312">
        <v>4</v>
      </c>
      <c r="M339" s="312" t="s">
        <v>333</v>
      </c>
      <c r="N339" s="342" t="s">
        <v>705</v>
      </c>
      <c r="O339" s="343"/>
      <c r="P339" s="343"/>
    </row>
    <row r="340" spans="1:16" s="355" customFormat="1" ht="12.75" customHeight="1" x14ac:dyDescent="0.2">
      <c r="A340" s="338">
        <f t="shared" si="5"/>
        <v>339</v>
      </c>
      <c r="B340" s="338" t="s">
        <v>133</v>
      </c>
      <c r="C340" s="338">
        <v>2</v>
      </c>
      <c r="D340" s="338">
        <v>556</v>
      </c>
      <c r="E340" s="343" t="str">
        <f>VLOOKUP( T_Aop[[#This Row],[Id]], T_Aop[], ID_Jezik +10, 1)</f>
        <v>5</v>
      </c>
      <c r="F340" s="338" t="str">
        <f>REPT( "  ", T_Aop[[#This Row],[Aop nivo]]) &amp; VLOOKUP( T_Aop[[#This Row],[Id]], T_Aop[], ID_Jezik + 6, 1)</f>
        <v xml:space="preserve">    Odlivi po osnovu dužničkih instrumenata</v>
      </c>
      <c r="G340" s="311" t="s">
        <v>1390</v>
      </c>
      <c r="H340" s="310" t="s">
        <v>1352</v>
      </c>
      <c r="I340" s="311" t="s">
        <v>1702</v>
      </c>
      <c r="J340" s="378" t="s">
        <v>2420</v>
      </c>
      <c r="K340" s="312" t="s">
        <v>334</v>
      </c>
      <c r="L340" s="312">
        <v>5</v>
      </c>
      <c r="M340" s="312" t="s">
        <v>334</v>
      </c>
      <c r="N340" s="342" t="s">
        <v>706</v>
      </c>
      <c r="O340" s="343"/>
      <c r="P340" s="343"/>
    </row>
    <row r="341" spans="1:16" s="355" customFormat="1" ht="12.75" customHeight="1" x14ac:dyDescent="0.2">
      <c r="A341" s="338">
        <f t="shared" si="5"/>
        <v>340</v>
      </c>
      <c r="B341" s="338" t="s">
        <v>133</v>
      </c>
      <c r="C341" s="338">
        <v>2</v>
      </c>
      <c r="D341" s="338">
        <v>557</v>
      </c>
      <c r="E341" s="343" t="str">
        <f>VLOOKUP( T_Aop[[#This Row],[Id]], T_Aop[], ID_Jezik +10, 1)</f>
        <v>6</v>
      </c>
      <c r="F341" s="338" t="str">
        <f>REPT( "  ", T_Aop[[#This Row],[Aop nivo]]) &amp; VLOOKUP( T_Aop[[#This Row],[Id]], T_Aop[], ID_Jezik + 6, 1)</f>
        <v xml:space="preserve">    Odlivi po osnovu isplaćenih dividendi</v>
      </c>
      <c r="G341" s="311" t="s">
        <v>1391</v>
      </c>
      <c r="H341" s="310" t="s">
        <v>1353</v>
      </c>
      <c r="I341" s="311" t="s">
        <v>1703</v>
      </c>
      <c r="J341" s="378" t="s">
        <v>2421</v>
      </c>
      <c r="K341" s="312" t="s">
        <v>335</v>
      </c>
      <c r="L341" s="312">
        <v>6</v>
      </c>
      <c r="M341" s="312" t="s">
        <v>335</v>
      </c>
      <c r="N341" s="342" t="s">
        <v>707</v>
      </c>
      <c r="O341" s="343"/>
      <c r="P341" s="343"/>
    </row>
    <row r="342" spans="1:16" s="355" customFormat="1" ht="12.75" customHeight="1" x14ac:dyDescent="0.2">
      <c r="A342" s="338">
        <f t="shared" si="5"/>
        <v>341</v>
      </c>
      <c r="B342" s="338" t="s">
        <v>133</v>
      </c>
      <c r="C342" s="338">
        <v>2</v>
      </c>
      <c r="D342" s="338">
        <v>558</v>
      </c>
      <c r="E342" s="343" t="str">
        <f>VLOOKUP( T_Aop[[#This Row],[Id]], T_Aop[], ID_Jezik +10, 1)</f>
        <v>7</v>
      </c>
      <c r="F342" s="338" t="str">
        <f>REPT( "  ", T_Aop[[#This Row],[Aop nivo]]) &amp; VLOOKUP( T_Aop[[#This Row],[Id]], T_Aop[], ID_Jezik + 6, 1)</f>
        <v xml:space="preserve">    Ostali odlivi iz aktivnosti finansiranja</v>
      </c>
      <c r="G342" s="311" t="s">
        <v>1392</v>
      </c>
      <c r="H342" s="310" t="s">
        <v>1354</v>
      </c>
      <c r="I342" s="311" t="s">
        <v>1704</v>
      </c>
      <c r="J342" s="378" t="s">
        <v>2422</v>
      </c>
      <c r="K342" s="312" t="s">
        <v>336</v>
      </c>
      <c r="L342" s="312">
        <v>7</v>
      </c>
      <c r="M342" s="312" t="s">
        <v>336</v>
      </c>
      <c r="N342" s="342" t="s">
        <v>708</v>
      </c>
      <c r="O342" s="343"/>
      <c r="P342" s="343"/>
    </row>
    <row r="343" spans="1:16" s="355" customFormat="1" ht="12.75" customHeight="1" x14ac:dyDescent="0.2">
      <c r="A343" s="338">
        <f t="shared" si="5"/>
        <v>342</v>
      </c>
      <c r="B343" s="338" t="s">
        <v>133</v>
      </c>
      <c r="C343" s="338">
        <v>1</v>
      </c>
      <c r="D343" s="338">
        <v>559</v>
      </c>
      <c r="E343" s="343" t="str">
        <f>VLOOKUP( T_Aop[[#This Row],[Id]], T_Aop[], ID_Jezik +10, 1)</f>
        <v>III</v>
      </c>
      <c r="F343" s="338" t="str">
        <f>REPT( "  ", T_Aop[[#This Row],[Aop nivo]]) &amp; VLOOKUP( T_Aop[[#This Row],[Id]], T_Aop[], ID_Jezik + 6, 1)</f>
        <v xml:space="preserve">  Neto priliv gotovine iz aktivnosti finansiranja (544 – 551)</v>
      </c>
      <c r="G343" s="311" t="s">
        <v>1393</v>
      </c>
      <c r="H343" s="310" t="s">
        <v>1355</v>
      </c>
      <c r="I343" s="311" t="s">
        <v>2710</v>
      </c>
      <c r="J343" s="378" t="s">
        <v>2423</v>
      </c>
      <c r="K343" s="312" t="s">
        <v>1405</v>
      </c>
      <c r="L343" s="312" t="s">
        <v>1405</v>
      </c>
      <c r="M343" s="312" t="s">
        <v>1405</v>
      </c>
      <c r="N343" s="342" t="s">
        <v>1405</v>
      </c>
      <c r="O343" s="343">
        <v>1</v>
      </c>
      <c r="P343" s="343"/>
    </row>
    <row r="344" spans="1:16" s="355" customFormat="1" ht="12.75" customHeight="1" x14ac:dyDescent="0.2">
      <c r="A344" s="338">
        <f t="shared" si="5"/>
        <v>343</v>
      </c>
      <c r="B344" s="338" t="s">
        <v>133</v>
      </c>
      <c r="C344" s="338">
        <v>1</v>
      </c>
      <c r="D344" s="338">
        <v>560</v>
      </c>
      <c r="E344" s="343" t="str">
        <f>VLOOKUP( T_Aop[[#This Row],[Id]], T_Aop[], ID_Jezik +10, 1)</f>
        <v>IV</v>
      </c>
      <c r="F344" s="338" t="str">
        <f>REPT( "  ", T_Aop[[#This Row],[Aop nivo]]) &amp; VLOOKUP( T_Aop[[#This Row],[Id]], T_Aop[], ID_Jezik + 6, 1)</f>
        <v xml:space="preserve">  Neto odliv gotovine iz aktivnosti finansiranja (551 – 544) </v>
      </c>
      <c r="G344" s="311" t="s">
        <v>1394</v>
      </c>
      <c r="H344" s="310" t="s">
        <v>1356</v>
      </c>
      <c r="I344" s="311" t="s">
        <v>1705</v>
      </c>
      <c r="J344" s="378" t="s">
        <v>2424</v>
      </c>
      <c r="K344" s="312" t="s">
        <v>1406</v>
      </c>
      <c r="L344" s="312" t="s">
        <v>1406</v>
      </c>
      <c r="M344" s="312" t="s">
        <v>1406</v>
      </c>
      <c r="N344" s="342" t="s">
        <v>1406</v>
      </c>
      <c r="O344" s="343">
        <v>1</v>
      </c>
      <c r="P344" s="343"/>
    </row>
    <row r="345" spans="1:16" s="355" customFormat="1" ht="12.75" customHeight="1" x14ac:dyDescent="0.2">
      <c r="A345" s="338">
        <f t="shared" si="5"/>
        <v>344</v>
      </c>
      <c r="B345" s="338" t="s">
        <v>133</v>
      </c>
      <c r="C345" s="338">
        <v>0</v>
      </c>
      <c r="D345" s="338">
        <v>561</v>
      </c>
      <c r="E345" s="343" t="str">
        <f>VLOOKUP( T_Aop[[#This Row],[Id]], T_Aop[], ID_Jezik +10, 1)</f>
        <v>G</v>
      </c>
      <c r="F345" s="364" t="str">
        <f>REPT( "  ", T_Aop[[#This Row],[Aop nivo]]) &amp; VLOOKUP( T_Aop[[#This Row],[Id]], T_Aop[], ID_Jezik + 6, 1)</f>
        <v>UKUPNI PRILIVI GOTOVINE (501 + 515 + 544)</v>
      </c>
      <c r="G345" s="473" t="s">
        <v>1395</v>
      </c>
      <c r="H345" s="310" t="s">
        <v>1357</v>
      </c>
      <c r="I345" s="311" t="s">
        <v>1706</v>
      </c>
      <c r="J345" s="378" t="s">
        <v>2425</v>
      </c>
      <c r="K345" s="312" t="s">
        <v>1423</v>
      </c>
      <c r="L345" s="312" t="s">
        <v>1409</v>
      </c>
      <c r="M345" s="312" t="s">
        <v>1423</v>
      </c>
      <c r="N345" s="342" t="s">
        <v>1409</v>
      </c>
      <c r="O345" s="343">
        <v>1</v>
      </c>
      <c r="P345" s="343"/>
    </row>
    <row r="346" spans="1:16" s="355" customFormat="1" ht="12.75" customHeight="1" x14ac:dyDescent="0.2">
      <c r="A346" s="338">
        <f t="shared" si="5"/>
        <v>345</v>
      </c>
      <c r="B346" s="338" t="s">
        <v>133</v>
      </c>
      <c r="C346" s="338">
        <v>0</v>
      </c>
      <c r="D346" s="338">
        <v>562</v>
      </c>
      <c r="E346" s="343" t="str">
        <f>VLOOKUP( T_Aop[[#This Row],[Id]], T_Aop[], ID_Jezik +10, 1)</f>
        <v>D</v>
      </c>
      <c r="F346" s="364" t="str">
        <f>REPT( "  ", T_Aop[[#This Row],[Aop nivo]]) &amp; VLOOKUP( T_Aop[[#This Row],[Id]], T_Aop[], ID_Jezik + 6, 1)</f>
        <v>UKUPNI ODLIVI GOTOVINE (506 + 531 + 551)</v>
      </c>
      <c r="G346" s="473" t="s">
        <v>1396</v>
      </c>
      <c r="H346" s="310" t="s">
        <v>1358</v>
      </c>
      <c r="I346" s="311" t="s">
        <v>1707</v>
      </c>
      <c r="J346" s="378" t="s">
        <v>2426</v>
      </c>
      <c r="K346" s="312" t="s">
        <v>1424</v>
      </c>
      <c r="L346" s="312" t="s">
        <v>1410</v>
      </c>
      <c r="M346" s="312" t="s">
        <v>1424</v>
      </c>
      <c r="N346" s="342" t="s">
        <v>1410</v>
      </c>
      <c r="O346" s="343">
        <v>1</v>
      </c>
      <c r="P346" s="343"/>
    </row>
    <row r="347" spans="1:16" s="355" customFormat="1" ht="12.75" customHeight="1" x14ac:dyDescent="0.2">
      <c r="A347" s="338">
        <f t="shared" si="5"/>
        <v>346</v>
      </c>
      <c r="B347" s="338" t="s">
        <v>133</v>
      </c>
      <c r="C347" s="338">
        <v>0</v>
      </c>
      <c r="D347" s="338">
        <v>563</v>
      </c>
      <c r="E347" s="343" t="str">
        <f>VLOOKUP( T_Aop[[#This Row],[Id]], T_Aop[], ID_Jezik +10, 1)</f>
        <v>Đ</v>
      </c>
      <c r="F347" s="364" t="str">
        <f>REPT( "  ", T_Aop[[#This Row],[Aop nivo]]) &amp; VLOOKUP( T_Aop[[#This Row],[Id]], T_Aop[], ID_Jezik + 6, 1)</f>
        <v>NETO PRILIV GOTOVINE (561 – 562)</v>
      </c>
      <c r="G347" s="473" t="s">
        <v>1397</v>
      </c>
      <c r="H347" s="310" t="s">
        <v>1359</v>
      </c>
      <c r="I347" s="311" t="s">
        <v>1708</v>
      </c>
      <c r="J347" s="378" t="s">
        <v>2427</v>
      </c>
      <c r="K347" s="312" t="s">
        <v>1425</v>
      </c>
      <c r="L347" s="312" t="s">
        <v>1411</v>
      </c>
      <c r="M347" s="312" t="s">
        <v>1425</v>
      </c>
      <c r="N347" s="342" t="s">
        <v>1411</v>
      </c>
      <c r="O347" s="343">
        <v>1</v>
      </c>
      <c r="P347" s="343"/>
    </row>
    <row r="348" spans="1:16" s="355" customFormat="1" ht="12.75" customHeight="1" x14ac:dyDescent="0.2">
      <c r="A348" s="338">
        <f t="shared" si="5"/>
        <v>347</v>
      </c>
      <c r="B348" s="338" t="s">
        <v>133</v>
      </c>
      <c r="C348" s="338">
        <v>0</v>
      </c>
      <c r="D348" s="338">
        <v>564</v>
      </c>
      <c r="E348" s="343" t="str">
        <f>VLOOKUP( T_Aop[[#This Row],[Id]], T_Aop[], ID_Jezik +10, 1)</f>
        <v>E</v>
      </c>
      <c r="F348" s="364" t="str">
        <f>REPT( "  ", T_Aop[[#This Row],[Aop nivo]]) &amp; VLOOKUP( T_Aop[[#This Row],[Id]], T_Aop[], ID_Jezik + 6, 1)</f>
        <v>NETO ODLIV GOTOVINE (562 – 561)</v>
      </c>
      <c r="G348" s="473" t="s">
        <v>1398</v>
      </c>
      <c r="H348" s="310" t="s">
        <v>1360</v>
      </c>
      <c r="I348" s="311" t="s">
        <v>1709</v>
      </c>
      <c r="J348" s="378" t="s">
        <v>2428</v>
      </c>
      <c r="K348" s="312" t="s">
        <v>1426</v>
      </c>
      <c r="L348" s="312" t="s">
        <v>1412</v>
      </c>
      <c r="M348" s="312" t="s">
        <v>1426</v>
      </c>
      <c r="N348" s="342" t="s">
        <v>1412</v>
      </c>
      <c r="O348" s="343">
        <v>1</v>
      </c>
      <c r="P348" s="343"/>
    </row>
    <row r="349" spans="1:16" s="355" customFormat="1" ht="12.75" customHeight="1" x14ac:dyDescent="0.2">
      <c r="A349" s="338">
        <f t="shared" si="5"/>
        <v>348</v>
      </c>
      <c r="B349" s="338" t="s">
        <v>133</v>
      </c>
      <c r="C349" s="338">
        <v>0</v>
      </c>
      <c r="D349" s="338">
        <v>565</v>
      </c>
      <c r="E349" s="343" t="str">
        <f>VLOOKUP( T_Aop[[#This Row],[Id]], T_Aop[], ID_Jezik +10, 1)</f>
        <v>Ž</v>
      </c>
      <c r="F349" s="364" t="str">
        <f>REPT( "  ", T_Aop[[#This Row],[Aop nivo]]) &amp; VLOOKUP( T_Aop[[#This Row],[Id]], T_Aop[], ID_Jezik + 6, 1)</f>
        <v xml:space="preserve">GOTOVINA NA POČETKU OBRAČUNSKOG PERIODA </v>
      </c>
      <c r="G349" s="473" t="s">
        <v>1399</v>
      </c>
      <c r="H349" s="310" t="s">
        <v>1361</v>
      </c>
      <c r="I349" s="311" t="s">
        <v>1710</v>
      </c>
      <c r="J349" s="378" t="s">
        <v>2429</v>
      </c>
      <c r="K349" s="312" t="s">
        <v>1427</v>
      </c>
      <c r="L349" s="312" t="s">
        <v>1413</v>
      </c>
      <c r="M349" s="312" t="s">
        <v>1427</v>
      </c>
      <c r="N349" s="342" t="s">
        <v>1413</v>
      </c>
      <c r="O349" s="343">
        <v>1</v>
      </c>
      <c r="P349" s="343"/>
    </row>
    <row r="350" spans="1:16" s="355" customFormat="1" ht="12.75" customHeight="1" x14ac:dyDescent="0.2">
      <c r="A350" s="338">
        <f t="shared" si="5"/>
        <v>349</v>
      </c>
      <c r="B350" s="338" t="s">
        <v>133</v>
      </c>
      <c r="C350" s="338">
        <v>0</v>
      </c>
      <c r="D350" s="338">
        <v>566</v>
      </c>
      <c r="E350" s="343" t="str">
        <f>VLOOKUP( T_Aop[[#This Row],[Id]], T_Aop[], ID_Jezik +10, 1)</f>
        <v>Z</v>
      </c>
      <c r="F350" s="364" t="str">
        <f>REPT( "  ", T_Aop[[#This Row],[Aop nivo]]) &amp; VLOOKUP( T_Aop[[#This Row],[Id]], T_Aop[], ID_Jezik + 6, 1)</f>
        <v>POZITIVNE KURSNE RAZLIKE PO OSNOVU PRERAČUNA GOTOVINE</v>
      </c>
      <c r="G350" s="473" t="s">
        <v>1400</v>
      </c>
      <c r="H350" s="310" t="s">
        <v>1362</v>
      </c>
      <c r="I350" s="311" t="s">
        <v>1711</v>
      </c>
      <c r="J350" s="378" t="s">
        <v>2430</v>
      </c>
      <c r="K350" s="312" t="s">
        <v>1428</v>
      </c>
      <c r="L350" s="312" t="s">
        <v>1414</v>
      </c>
      <c r="M350" s="312" t="s">
        <v>1428</v>
      </c>
      <c r="N350" s="342" t="s">
        <v>1414</v>
      </c>
      <c r="O350" s="343">
        <v>1</v>
      </c>
      <c r="P350" s="343"/>
    </row>
    <row r="351" spans="1:16" s="355" customFormat="1" ht="12.75" customHeight="1" x14ac:dyDescent="0.2">
      <c r="A351" s="338">
        <f t="shared" si="5"/>
        <v>350</v>
      </c>
      <c r="B351" s="338" t="s">
        <v>133</v>
      </c>
      <c r="C351" s="338">
        <v>0</v>
      </c>
      <c r="D351" s="338">
        <v>567</v>
      </c>
      <c r="E351" s="343" t="str">
        <f>VLOOKUP( T_Aop[[#This Row],[Id]], T_Aop[], ID_Jezik +10, 1)</f>
        <v>I</v>
      </c>
      <c r="F351" s="364" t="str">
        <f>REPT( "  ", T_Aop[[#This Row],[Aop nivo]]) &amp; VLOOKUP( T_Aop[[#This Row],[Id]], T_Aop[], ID_Jezik + 6, 1)</f>
        <v>NEGATIVNE KURSNE RAZLIKE PO OSNOVU PRERAČUNA GOTOVINE</v>
      </c>
      <c r="G351" s="473" t="s">
        <v>1401</v>
      </c>
      <c r="H351" s="310" t="s">
        <v>1363</v>
      </c>
      <c r="I351" s="311" t="s">
        <v>1712</v>
      </c>
      <c r="J351" s="378" t="s">
        <v>2431</v>
      </c>
      <c r="K351" s="312" t="s">
        <v>1429</v>
      </c>
      <c r="L351" s="312" t="s">
        <v>1415</v>
      </c>
      <c r="M351" s="312" t="s">
        <v>1429</v>
      </c>
      <c r="N351" s="342" t="s">
        <v>1415</v>
      </c>
      <c r="O351" s="343">
        <v>1</v>
      </c>
      <c r="P351" s="343"/>
    </row>
    <row r="352" spans="1:16" s="355" customFormat="1" ht="12.75" customHeight="1" x14ac:dyDescent="0.2">
      <c r="A352" s="346">
        <f t="shared" si="5"/>
        <v>351</v>
      </c>
      <c r="B352" s="346" t="s">
        <v>133</v>
      </c>
      <c r="C352" s="346">
        <v>0</v>
      </c>
      <c r="D352" s="346">
        <v>568</v>
      </c>
      <c r="E352" s="347" t="str">
        <f>VLOOKUP( T_Aop[[#This Row],[Id]], T_Aop[], ID_Jezik +10, 1)</f>
        <v>J</v>
      </c>
      <c r="F352" s="365" t="str">
        <f>REPT( "  ", T_Aop[[#This Row],[Aop nivo]]) &amp; VLOOKUP( T_Aop[[#This Row],[Id]], T_Aop[], ID_Jezik + 6, 1)</f>
        <v>GOTOVINA NA KRAJU OBRAČUNSKOG PERIODA (565 + 563 – 564 + 566 – 567)</v>
      </c>
      <c r="G352" s="474" t="s">
        <v>1402</v>
      </c>
      <c r="H352" s="348" t="s">
        <v>1364</v>
      </c>
      <c r="I352" s="311" t="s">
        <v>1713</v>
      </c>
      <c r="J352" s="378" t="s">
        <v>2432</v>
      </c>
      <c r="K352" s="349" t="s">
        <v>1430</v>
      </c>
      <c r="L352" s="349" t="s">
        <v>1416</v>
      </c>
      <c r="M352" s="349" t="s">
        <v>1430</v>
      </c>
      <c r="N352" s="342" t="s">
        <v>1416</v>
      </c>
      <c r="O352" s="347">
        <v>1</v>
      </c>
      <c r="P352" s="347"/>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7" t="s">
        <v>517</v>
      </c>
      <c r="H353" s="56" t="s">
        <v>518</v>
      </c>
      <c r="I353" s="56" t="s">
        <v>519</v>
      </c>
      <c r="J353" s="381" t="s">
        <v>2588</v>
      </c>
      <c r="K353" s="291" t="s">
        <v>721</v>
      </c>
      <c r="L353" s="291" t="s">
        <v>721</v>
      </c>
      <c r="M353" s="291" t="s">
        <v>721</v>
      </c>
      <c r="N353" s="330">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7" t="s">
        <v>520</v>
      </c>
      <c r="H354" s="56" t="s">
        <v>521</v>
      </c>
      <c r="I354" s="56" t="s">
        <v>522</v>
      </c>
      <c r="J354" s="382" t="s">
        <v>2589</v>
      </c>
      <c r="K354" s="291" t="s">
        <v>657</v>
      </c>
      <c r="L354" s="301" t="s">
        <v>658</v>
      </c>
      <c r="M354" s="291" t="s">
        <v>659</v>
      </c>
      <c r="N354" s="331"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7" t="s">
        <v>523</v>
      </c>
      <c r="H355" s="56" t="s">
        <v>524</v>
      </c>
      <c r="I355" s="56" t="s">
        <v>525</v>
      </c>
      <c r="J355" s="381" t="s">
        <v>2590</v>
      </c>
      <c r="K355" s="291" t="s">
        <v>660</v>
      </c>
      <c r="L355" s="301" t="s">
        <v>661</v>
      </c>
      <c r="M355" s="291"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7" t="s">
        <v>526</v>
      </c>
      <c r="H356" s="56" t="s">
        <v>527</v>
      </c>
      <c r="I356" s="56" t="s">
        <v>528</v>
      </c>
      <c r="J356" s="382" t="s">
        <v>2591</v>
      </c>
      <c r="K356" s="291" t="s">
        <v>663</v>
      </c>
      <c r="L356" s="291" t="s">
        <v>664</v>
      </c>
      <c r="M356" s="291" t="s">
        <v>665</v>
      </c>
      <c r="N356" s="331"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7" t="s">
        <v>529</v>
      </c>
      <c r="H357" s="56" t="s">
        <v>530</v>
      </c>
      <c r="I357" s="56" t="s">
        <v>531</v>
      </c>
      <c r="J357" s="381" t="s">
        <v>2592</v>
      </c>
      <c r="K357" s="291" t="s">
        <v>666</v>
      </c>
      <c r="L357" s="291" t="s">
        <v>667</v>
      </c>
      <c r="M357" s="291"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7" t="s">
        <v>532</v>
      </c>
      <c r="H358" s="56" t="s">
        <v>533</v>
      </c>
      <c r="I358" s="56" t="s">
        <v>534</v>
      </c>
      <c r="J358" s="381" t="s">
        <v>2593</v>
      </c>
      <c r="K358" s="291" t="s">
        <v>669</v>
      </c>
      <c r="L358" s="301" t="s">
        <v>670</v>
      </c>
      <c r="M358" s="291" t="s">
        <v>671</v>
      </c>
      <c r="N358" s="331"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7" t="s">
        <v>535</v>
      </c>
      <c r="H359" s="56" t="s">
        <v>536</v>
      </c>
      <c r="I359" s="56" t="s">
        <v>537</v>
      </c>
      <c r="J359" s="381" t="s">
        <v>2594</v>
      </c>
      <c r="K359" s="291" t="s">
        <v>672</v>
      </c>
      <c r="L359" s="301" t="s">
        <v>673</v>
      </c>
      <c r="M359" s="291" t="s">
        <v>674</v>
      </c>
      <c r="N359" s="66" t="s">
        <v>2636</v>
      </c>
      <c r="O359" s="10"/>
      <c r="P359" s="10">
        <v>1</v>
      </c>
    </row>
    <row r="360" spans="1:16" ht="14.25" customHeight="1" x14ac:dyDescent="0.2">
      <c r="A360">
        <f t="shared" si="5"/>
        <v>359</v>
      </c>
      <c r="B360" t="s">
        <v>134</v>
      </c>
      <c r="C360">
        <v>0</v>
      </c>
      <c r="D360" s="557">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7" t="s">
        <v>538</v>
      </c>
      <c r="H360" s="56" t="s">
        <v>539</v>
      </c>
      <c r="I360" s="56" t="s">
        <v>540</v>
      </c>
      <c r="J360" s="382" t="s">
        <v>2595</v>
      </c>
      <c r="K360" s="533" t="s">
        <v>2928</v>
      </c>
      <c r="L360" s="534" t="s">
        <v>2925</v>
      </c>
      <c r="M360" s="533" t="s">
        <v>2926</v>
      </c>
      <c r="N360" s="535" t="s">
        <v>2934</v>
      </c>
      <c r="O360" s="10"/>
      <c r="P360" s="10">
        <v>1</v>
      </c>
    </row>
    <row r="361" spans="1:16" ht="14.25" customHeight="1" x14ac:dyDescent="0.2">
      <c r="A361">
        <f t="shared" si="5"/>
        <v>360</v>
      </c>
      <c r="B361" t="s">
        <v>134</v>
      </c>
      <c r="C361">
        <v>0</v>
      </c>
      <c r="D361" s="557">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7" t="s">
        <v>541</v>
      </c>
      <c r="H361" s="56" t="s">
        <v>542</v>
      </c>
      <c r="I361" s="56" t="s">
        <v>543</v>
      </c>
      <c r="J361" s="383" t="s">
        <v>2596</v>
      </c>
      <c r="K361" s="533" t="s">
        <v>2929</v>
      </c>
      <c r="L361" s="534" t="s">
        <v>2930</v>
      </c>
      <c r="M361" s="533" t="s">
        <v>2932</v>
      </c>
      <c r="N361" s="535" t="s">
        <v>2935</v>
      </c>
      <c r="O361" s="10"/>
      <c r="P361" s="10">
        <v>1</v>
      </c>
    </row>
    <row r="362" spans="1:16" ht="14.25" customHeight="1" x14ac:dyDescent="0.2">
      <c r="A362">
        <f t="shared" si="5"/>
        <v>361</v>
      </c>
      <c r="B362" t="s">
        <v>134</v>
      </c>
      <c r="C362">
        <v>0</v>
      </c>
      <c r="D362" s="557">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7" t="s">
        <v>544</v>
      </c>
      <c r="H362" s="56" t="s">
        <v>545</v>
      </c>
      <c r="I362" s="56" t="s">
        <v>546</v>
      </c>
      <c r="J362" s="382" t="s">
        <v>2597</v>
      </c>
      <c r="K362" s="533" t="s">
        <v>2927</v>
      </c>
      <c r="L362" s="534" t="s">
        <v>2931</v>
      </c>
      <c r="M362" s="533" t="s">
        <v>2933</v>
      </c>
      <c r="N362" s="535" t="s">
        <v>2936</v>
      </c>
      <c r="O362" s="10"/>
      <c r="P362" s="10">
        <v>1</v>
      </c>
    </row>
    <row r="363" spans="1:16" ht="14.25" customHeight="1" x14ac:dyDescent="0.2">
      <c r="A363">
        <f t="shared" si="5"/>
        <v>362</v>
      </c>
      <c r="B363" t="s">
        <v>134</v>
      </c>
      <c r="C363">
        <v>0</v>
      </c>
      <c r="D363" s="557">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6" t="s">
        <v>2937</v>
      </c>
      <c r="H363" s="300" t="s">
        <v>2990</v>
      </c>
      <c r="I363" s="551" t="s">
        <v>2996</v>
      </c>
      <c r="J363" s="382" t="s">
        <v>2598</v>
      </c>
      <c r="K363" s="533" t="s">
        <v>2938</v>
      </c>
      <c r="L363" s="534" t="s">
        <v>2941</v>
      </c>
      <c r="M363" s="533" t="s">
        <v>2946</v>
      </c>
      <c r="N363" s="535" t="s">
        <v>2947</v>
      </c>
      <c r="O363" s="10"/>
      <c r="P363" s="10"/>
    </row>
    <row r="364" spans="1:16" ht="14.25" customHeight="1" x14ac:dyDescent="0.2">
      <c r="A364">
        <f t="shared" si="5"/>
        <v>363</v>
      </c>
      <c r="B364" t="s">
        <v>134</v>
      </c>
      <c r="C364">
        <v>0</v>
      </c>
      <c r="D364" s="557">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6" t="s">
        <v>2950</v>
      </c>
      <c r="H364" s="300" t="s">
        <v>2989</v>
      </c>
      <c r="I364" s="551" t="s">
        <v>2997</v>
      </c>
      <c r="J364" s="382" t="s">
        <v>2599</v>
      </c>
      <c r="K364" s="533" t="s">
        <v>2939</v>
      </c>
      <c r="L364" s="534" t="s">
        <v>2942</v>
      </c>
      <c r="M364" s="533" t="s">
        <v>2944</v>
      </c>
      <c r="N364" s="535" t="s">
        <v>2948</v>
      </c>
      <c r="O364" s="10"/>
      <c r="P364" s="10"/>
    </row>
    <row r="365" spans="1:16" ht="14.25" customHeight="1" x14ac:dyDescent="0.2">
      <c r="A365">
        <f t="shared" si="5"/>
        <v>364</v>
      </c>
      <c r="B365" t="s">
        <v>134</v>
      </c>
      <c r="C365">
        <v>0</v>
      </c>
      <c r="D365" s="557">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6" t="s">
        <v>2951</v>
      </c>
      <c r="H365" s="300" t="s">
        <v>2991</v>
      </c>
      <c r="I365" s="551" t="s">
        <v>2998</v>
      </c>
      <c r="J365" s="381" t="s">
        <v>2600</v>
      </c>
      <c r="K365" s="533" t="s">
        <v>2940</v>
      </c>
      <c r="L365" s="534" t="s">
        <v>2943</v>
      </c>
      <c r="M365" s="533" t="s">
        <v>2945</v>
      </c>
      <c r="N365" s="535" t="s">
        <v>2949</v>
      </c>
      <c r="O365" s="10"/>
      <c r="P365" s="10">
        <v>1</v>
      </c>
    </row>
    <row r="366" spans="1:16" ht="14.25" customHeight="1" x14ac:dyDescent="0.2">
      <c r="A366">
        <f t="shared" si="5"/>
        <v>365</v>
      </c>
      <c r="B366" t="s">
        <v>134</v>
      </c>
      <c r="C366">
        <v>0</v>
      </c>
      <c r="D366" s="557">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6" t="s">
        <v>2995</v>
      </c>
      <c r="H366" s="300" t="s">
        <v>2994</v>
      </c>
      <c r="I366" s="551" t="s">
        <v>2999</v>
      </c>
      <c r="J366" s="382" t="s">
        <v>2601</v>
      </c>
      <c r="K366" s="533" t="s">
        <v>2954</v>
      </c>
      <c r="L366" s="533" t="s">
        <v>2957</v>
      </c>
      <c r="M366" s="533" t="s">
        <v>2960</v>
      </c>
      <c r="N366" s="535" t="s">
        <v>2963</v>
      </c>
      <c r="O366" s="10"/>
      <c r="P366" s="10" t="s">
        <v>741</v>
      </c>
    </row>
    <row r="367" spans="1:16" ht="16.5" customHeight="1" x14ac:dyDescent="0.2">
      <c r="A367">
        <f t="shared" si="5"/>
        <v>366</v>
      </c>
      <c r="B367" t="s">
        <v>134</v>
      </c>
      <c r="C367">
        <v>0</v>
      </c>
      <c r="D367" s="557">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6" t="s">
        <v>2952</v>
      </c>
      <c r="H367" s="300" t="s">
        <v>2992</v>
      </c>
      <c r="I367" s="551" t="s">
        <v>3000</v>
      </c>
      <c r="J367" s="381" t="s">
        <v>2602</v>
      </c>
      <c r="K367" s="533" t="s">
        <v>2955</v>
      </c>
      <c r="L367" s="533" t="s">
        <v>2958</v>
      </c>
      <c r="M367" s="533" t="s">
        <v>2961</v>
      </c>
      <c r="N367" s="535" t="s">
        <v>2964</v>
      </c>
      <c r="O367" s="10"/>
      <c r="P367" s="10" t="s">
        <v>741</v>
      </c>
    </row>
    <row r="368" spans="1:16" x14ac:dyDescent="0.2">
      <c r="A368">
        <f t="shared" si="5"/>
        <v>367</v>
      </c>
      <c r="B368" t="s">
        <v>134</v>
      </c>
      <c r="C368">
        <v>0</v>
      </c>
      <c r="D368" s="557">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6" t="s">
        <v>2953</v>
      </c>
      <c r="H368" s="300" t="s">
        <v>2993</v>
      </c>
      <c r="I368" s="551" t="s">
        <v>3001</v>
      </c>
      <c r="J368" s="382" t="s">
        <v>2603</v>
      </c>
      <c r="K368" s="533" t="s">
        <v>2956</v>
      </c>
      <c r="L368" s="533" t="s">
        <v>2959</v>
      </c>
      <c r="M368" s="533" t="s">
        <v>2962</v>
      </c>
      <c r="N368" s="535" t="s">
        <v>2965</v>
      </c>
      <c r="O368" s="10"/>
      <c r="P368" s="10"/>
    </row>
    <row r="369" spans="1:16" ht="25.5" x14ac:dyDescent="0.2">
      <c r="A369">
        <f t="shared" si="5"/>
        <v>368</v>
      </c>
      <c r="B369" t="s">
        <v>134</v>
      </c>
      <c r="C369">
        <v>0</v>
      </c>
      <c r="D369" s="557">
        <v>617</v>
      </c>
      <c r="E369" s="2">
        <f>VLOOKUP( T_Aop[[#This Row],[Id]], T_Aop[], ID_Jezik +10, 1)</f>
        <v>65</v>
      </c>
      <c r="F369" t="str">
        <f>REPT( "  ", T_Aop[[#This Row],[Aop nivo]]) &amp; VLOOKUP( T_Aop[[#This Row],[Id]], T_Aop[], ID_Jezik + 6, 1)</f>
        <v>OSTALI POSLOVNI PRIHODI (618 + 621 + 622 + 623 + 624 + 625 + 626 + 627 + 628)</v>
      </c>
      <c r="G369" s="547" t="s">
        <v>2966</v>
      </c>
      <c r="H369" s="548" t="s">
        <v>2968</v>
      </c>
      <c r="I369" s="548" t="s">
        <v>2967</v>
      </c>
      <c r="J369" s="537" t="s">
        <v>2969</v>
      </c>
      <c r="K369" s="291">
        <v>65</v>
      </c>
      <c r="L369" s="301">
        <v>65</v>
      </c>
      <c r="M369" s="291">
        <v>65</v>
      </c>
      <c r="N369" s="333">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7" t="s">
        <v>547</v>
      </c>
      <c r="H370" s="56" t="s">
        <v>548</v>
      </c>
      <c r="I370" s="56" t="s">
        <v>363</v>
      </c>
      <c r="J370" s="382" t="s">
        <v>2604</v>
      </c>
      <c r="K370" s="291">
        <v>650</v>
      </c>
      <c r="L370" s="301">
        <v>650</v>
      </c>
      <c r="M370" s="291">
        <v>650</v>
      </c>
      <c r="N370" s="332">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7" t="s">
        <v>3012</v>
      </c>
      <c r="H371" s="56" t="s">
        <v>3014</v>
      </c>
      <c r="I371" s="56" t="s">
        <v>3016</v>
      </c>
      <c r="J371" s="381" t="s">
        <v>3018</v>
      </c>
      <c r="K371" s="291" t="s">
        <v>36</v>
      </c>
      <c r="L371" s="301" t="s">
        <v>675</v>
      </c>
      <c r="M371" s="291"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7" t="s">
        <v>3013</v>
      </c>
      <c r="H372" s="56" t="s">
        <v>3015</v>
      </c>
      <c r="I372" s="56" t="s">
        <v>3017</v>
      </c>
      <c r="J372" s="382" t="s">
        <v>3019</v>
      </c>
      <c r="K372" s="301" t="s">
        <v>36</v>
      </c>
      <c r="L372" s="291" t="s">
        <v>675</v>
      </c>
      <c r="M372" s="291" t="s">
        <v>357</v>
      </c>
      <c r="N372" s="331"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7" t="s">
        <v>364</v>
      </c>
      <c r="H373" s="56" t="s">
        <v>549</v>
      </c>
      <c r="I373" s="56" t="s">
        <v>365</v>
      </c>
      <c r="J373" s="381" t="s">
        <v>2605</v>
      </c>
      <c r="K373" s="301">
        <v>651</v>
      </c>
      <c r="L373" s="291">
        <v>651</v>
      </c>
      <c r="M373" s="291">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7" t="s">
        <v>3066</v>
      </c>
      <c r="H374" s="56" t="s">
        <v>550</v>
      </c>
      <c r="I374" s="56" t="s">
        <v>366</v>
      </c>
      <c r="J374" s="382" t="s">
        <v>2606</v>
      </c>
      <c r="K374" s="291">
        <v>652</v>
      </c>
      <c r="L374" s="301">
        <v>652</v>
      </c>
      <c r="M374" s="301">
        <v>652</v>
      </c>
      <c r="N374" s="331">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7" t="s">
        <v>3067</v>
      </c>
      <c r="H375" s="56" t="s">
        <v>551</v>
      </c>
      <c r="I375" s="56" t="s">
        <v>367</v>
      </c>
      <c r="J375" s="381" t="s">
        <v>2607</v>
      </c>
      <c r="K375" s="291">
        <v>653</v>
      </c>
      <c r="L375" s="301">
        <v>653</v>
      </c>
      <c r="M375" s="301">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8" t="s">
        <v>3068</v>
      </c>
      <c r="H376" s="56" t="s">
        <v>552</v>
      </c>
      <c r="I376" s="56" t="s">
        <v>368</v>
      </c>
      <c r="J376" s="382" t="s">
        <v>2608</v>
      </c>
      <c r="K376" s="299">
        <v>654</v>
      </c>
      <c r="L376" s="301">
        <v>654</v>
      </c>
      <c r="M376" s="291">
        <v>654</v>
      </c>
      <c r="N376" s="331">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8" t="s">
        <v>3069</v>
      </c>
      <c r="H377" s="56" t="s">
        <v>553</v>
      </c>
      <c r="I377" s="56" t="s">
        <v>369</v>
      </c>
      <c r="J377" s="381" t="s">
        <v>3050</v>
      </c>
      <c r="K377" s="299">
        <v>655</v>
      </c>
      <c r="L377" s="291">
        <v>655</v>
      </c>
      <c r="M377" s="291">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38" t="s">
        <v>3070</v>
      </c>
      <c r="H378" s="300" t="s">
        <v>3063</v>
      </c>
      <c r="I378" s="551" t="s">
        <v>3002</v>
      </c>
      <c r="J378" s="552" t="s">
        <v>3048</v>
      </c>
      <c r="K378" s="539" t="s">
        <v>2970</v>
      </c>
      <c r="L378" s="539" t="s">
        <v>2970</v>
      </c>
      <c r="M378" s="539" t="s">
        <v>2970</v>
      </c>
      <c r="N378" s="539"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38" t="s">
        <v>3071</v>
      </c>
      <c r="H379" s="300" t="s">
        <v>2988</v>
      </c>
      <c r="I379" s="551" t="s">
        <v>3003</v>
      </c>
      <c r="J379" s="552" t="s">
        <v>3049</v>
      </c>
      <c r="K379" s="539" t="s">
        <v>2971</v>
      </c>
      <c r="L379" s="539" t="s">
        <v>2971</v>
      </c>
      <c r="M379" s="539" t="s">
        <v>2971</v>
      </c>
      <c r="N379" s="539"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8" t="s">
        <v>3072</v>
      </c>
      <c r="H380" s="302" t="s">
        <v>3064</v>
      </c>
      <c r="I380" s="302" t="s">
        <v>3065</v>
      </c>
      <c r="J380" s="382" t="s">
        <v>3051</v>
      </c>
      <c r="K380" s="299">
        <v>659</v>
      </c>
      <c r="L380" s="299">
        <v>659</v>
      </c>
      <c r="M380" s="299">
        <v>659</v>
      </c>
      <c r="N380" s="331">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8" t="s">
        <v>348</v>
      </c>
      <c r="H381" s="302" t="s">
        <v>554</v>
      </c>
      <c r="I381" s="302" t="s">
        <v>370</v>
      </c>
      <c r="J381" s="385" t="s">
        <v>2609</v>
      </c>
      <c r="K381" s="299" t="s">
        <v>676</v>
      </c>
      <c r="L381" s="303" t="s">
        <v>676</v>
      </c>
      <c r="M381" s="299" t="s">
        <v>676</v>
      </c>
      <c r="N381" s="333"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38" t="s">
        <v>2972</v>
      </c>
      <c r="H382" s="542" t="s">
        <v>2986</v>
      </c>
      <c r="I382" s="553" t="s">
        <v>3004</v>
      </c>
      <c r="J382" s="552" t="s">
        <v>2610</v>
      </c>
      <c r="K382" s="540" t="s">
        <v>353</v>
      </c>
      <c r="L382" s="540" t="s">
        <v>677</v>
      </c>
      <c r="M382" s="540" t="s">
        <v>358</v>
      </c>
      <c r="N382" s="535"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38" t="s">
        <v>2973</v>
      </c>
      <c r="H383" s="542" t="s">
        <v>2987</v>
      </c>
      <c r="I383" s="553" t="s">
        <v>3005</v>
      </c>
      <c r="J383" s="552" t="s">
        <v>2611</v>
      </c>
      <c r="K383" s="540" t="s">
        <v>2974</v>
      </c>
      <c r="L383" s="540" t="s">
        <v>2974</v>
      </c>
      <c r="M383" s="540" t="s">
        <v>2974</v>
      </c>
      <c r="N383" s="541">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49" t="s">
        <v>2975</v>
      </c>
      <c r="H384" s="550" t="s">
        <v>2985</v>
      </c>
      <c r="I384" s="554" t="s">
        <v>3006</v>
      </c>
      <c r="J384" s="555" t="s">
        <v>2612</v>
      </c>
      <c r="K384" s="299">
        <v>52</v>
      </c>
      <c r="L384" s="303">
        <v>52</v>
      </c>
      <c r="M384" s="299">
        <v>52</v>
      </c>
      <c r="N384" s="333">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8" t="s">
        <v>734</v>
      </c>
      <c r="H385" s="302" t="s">
        <v>748</v>
      </c>
      <c r="I385" s="302" t="s">
        <v>755</v>
      </c>
      <c r="J385" s="382" t="s">
        <v>2613</v>
      </c>
      <c r="K385" s="299" t="s">
        <v>732</v>
      </c>
      <c r="L385" s="303" t="s">
        <v>732</v>
      </c>
      <c r="M385" s="299" t="s">
        <v>732</v>
      </c>
      <c r="N385" s="334"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8" t="s">
        <v>555</v>
      </c>
      <c r="H386" s="302" t="s">
        <v>556</v>
      </c>
      <c r="I386" s="302" t="s">
        <v>557</v>
      </c>
      <c r="J386" s="382" t="s">
        <v>2614</v>
      </c>
      <c r="K386" s="299">
        <v>525</v>
      </c>
      <c r="L386" s="303">
        <v>525</v>
      </c>
      <c r="M386" s="299">
        <v>525</v>
      </c>
      <c r="N386" s="332">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8" t="s">
        <v>558</v>
      </c>
      <c r="H387" s="302" t="s">
        <v>559</v>
      </c>
      <c r="I387" s="302" t="s">
        <v>560</v>
      </c>
      <c r="J387" s="381" t="s">
        <v>2615</v>
      </c>
      <c r="K387" s="299" t="s">
        <v>678</v>
      </c>
      <c r="L387" s="299" t="s">
        <v>679</v>
      </c>
      <c r="M387" s="299" t="s">
        <v>680</v>
      </c>
      <c r="N387" s="334"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49" t="s">
        <v>2978</v>
      </c>
      <c r="H388" s="550" t="s">
        <v>2976</v>
      </c>
      <c r="I388" s="554" t="s">
        <v>3007</v>
      </c>
      <c r="J388" s="555" t="s">
        <v>2977</v>
      </c>
      <c r="K388" s="299">
        <v>53</v>
      </c>
      <c r="L388" s="303">
        <v>53</v>
      </c>
      <c r="M388" s="299">
        <v>53</v>
      </c>
      <c r="N388" s="335">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8" t="s">
        <v>349</v>
      </c>
      <c r="H389" s="302" t="s">
        <v>561</v>
      </c>
      <c r="I389" s="302" t="s">
        <v>562</v>
      </c>
      <c r="J389" s="381" t="s">
        <v>2616</v>
      </c>
      <c r="K389" s="299">
        <v>530</v>
      </c>
      <c r="L389" s="303">
        <v>530</v>
      </c>
      <c r="M389" s="299">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8" t="s">
        <v>350</v>
      </c>
      <c r="H390" s="302" t="s">
        <v>563</v>
      </c>
      <c r="I390" s="302" t="s">
        <v>371</v>
      </c>
      <c r="J390" s="382" t="s">
        <v>2617</v>
      </c>
      <c r="K390" s="299">
        <v>531</v>
      </c>
      <c r="L390" s="303">
        <v>531</v>
      </c>
      <c r="M390" s="299">
        <v>531</v>
      </c>
      <c r="N390" s="331">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8" t="s">
        <v>564</v>
      </c>
      <c r="H391" s="302" t="s">
        <v>565</v>
      </c>
      <c r="I391" s="302" t="s">
        <v>566</v>
      </c>
      <c r="J391" s="381" t="s">
        <v>2618</v>
      </c>
      <c r="K391" s="299" t="s">
        <v>354</v>
      </c>
      <c r="L391" s="303" t="s">
        <v>681</v>
      </c>
      <c r="M391" s="299" t="s">
        <v>359</v>
      </c>
      <c r="N391" s="336"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8" t="s">
        <v>567</v>
      </c>
      <c r="H392" s="302" t="s">
        <v>568</v>
      </c>
      <c r="I392" s="302" t="s">
        <v>569</v>
      </c>
      <c r="J392" s="382" t="s">
        <v>2619</v>
      </c>
      <c r="K392" s="299" t="s">
        <v>354</v>
      </c>
      <c r="L392" s="299" t="s">
        <v>681</v>
      </c>
      <c r="M392" s="299" t="s">
        <v>359</v>
      </c>
      <c r="N392" s="331"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8" t="s">
        <v>570</v>
      </c>
      <c r="H393" s="302" t="s">
        <v>571</v>
      </c>
      <c r="I393" s="302" t="s">
        <v>372</v>
      </c>
      <c r="J393" s="386" t="s">
        <v>2620</v>
      </c>
      <c r="K393" s="299">
        <v>533</v>
      </c>
      <c r="L393" s="299">
        <v>533</v>
      </c>
      <c r="M393" s="299">
        <v>533</v>
      </c>
      <c r="N393" s="336">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8" t="s">
        <v>572</v>
      </c>
      <c r="H394" s="302" t="s">
        <v>573</v>
      </c>
      <c r="I394" s="302" t="s">
        <v>373</v>
      </c>
      <c r="J394" s="382" t="s">
        <v>2621</v>
      </c>
      <c r="K394" s="299" t="s">
        <v>682</v>
      </c>
      <c r="L394" s="303" t="s">
        <v>682</v>
      </c>
      <c r="M394" s="299" t="s">
        <v>682</v>
      </c>
      <c r="N394" s="331"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8" t="s">
        <v>574</v>
      </c>
      <c r="H395" s="302" t="s">
        <v>575</v>
      </c>
      <c r="I395" s="302" t="s">
        <v>374</v>
      </c>
      <c r="J395" s="381" t="s">
        <v>2622</v>
      </c>
      <c r="K395" s="299" t="s">
        <v>683</v>
      </c>
      <c r="L395" s="299" t="s">
        <v>683</v>
      </c>
      <c r="M395" s="299"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8" t="s">
        <v>576</v>
      </c>
      <c r="H396" s="302" t="s">
        <v>577</v>
      </c>
      <c r="I396" s="302" t="s">
        <v>375</v>
      </c>
      <c r="J396" s="382" t="s">
        <v>2623</v>
      </c>
      <c r="K396" s="299">
        <v>539</v>
      </c>
      <c r="L396" s="299">
        <v>539</v>
      </c>
      <c r="M396" s="299">
        <v>539</v>
      </c>
      <c r="N396" s="331">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8" t="s">
        <v>578</v>
      </c>
      <c r="H397" s="302" t="s">
        <v>579</v>
      </c>
      <c r="I397" s="302" t="s">
        <v>580</v>
      </c>
      <c r="J397" s="381" t="s">
        <v>2624</v>
      </c>
      <c r="K397" s="299" t="s">
        <v>355</v>
      </c>
      <c r="L397" s="299" t="s">
        <v>684</v>
      </c>
      <c r="M397" s="299"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49" t="s">
        <v>2979</v>
      </c>
      <c r="H398" s="550" t="s">
        <v>2980</v>
      </c>
      <c r="I398" s="550" t="s">
        <v>2981</v>
      </c>
      <c r="J398" s="537" t="s">
        <v>2982</v>
      </c>
      <c r="K398" s="299">
        <v>55</v>
      </c>
      <c r="L398" s="303">
        <v>55</v>
      </c>
      <c r="M398" s="299">
        <v>55</v>
      </c>
      <c r="N398" s="335">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38" t="s">
        <v>2983</v>
      </c>
      <c r="H399" s="542" t="s">
        <v>2984</v>
      </c>
      <c r="I399" s="553" t="s">
        <v>3008</v>
      </c>
      <c r="J399" s="552" t="s">
        <v>2625</v>
      </c>
      <c r="K399" s="299">
        <v>550</v>
      </c>
      <c r="L399" s="303">
        <v>550</v>
      </c>
      <c r="M399" s="299">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8" t="s">
        <v>735</v>
      </c>
      <c r="H400" s="302" t="s">
        <v>749</v>
      </c>
      <c r="I400" s="302" t="s">
        <v>376</v>
      </c>
      <c r="J400" s="382" t="s">
        <v>2626</v>
      </c>
      <c r="K400" s="299" t="s">
        <v>59</v>
      </c>
      <c r="L400" s="303" t="s">
        <v>685</v>
      </c>
      <c r="M400" s="299" t="s">
        <v>361</v>
      </c>
      <c r="N400" s="331"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8" t="s">
        <v>578</v>
      </c>
      <c r="H401" s="302" t="s">
        <v>579</v>
      </c>
      <c r="I401" s="302" t="s">
        <v>580</v>
      </c>
      <c r="J401" s="382" t="s">
        <v>2624</v>
      </c>
      <c r="K401" s="299" t="s">
        <v>59</v>
      </c>
      <c r="L401" s="303" t="s">
        <v>685</v>
      </c>
      <c r="M401" s="299" t="s">
        <v>361</v>
      </c>
      <c r="N401" s="331"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8" t="s">
        <v>736</v>
      </c>
      <c r="H402" s="302" t="s">
        <v>750</v>
      </c>
      <c r="I402" s="302" t="s">
        <v>742</v>
      </c>
      <c r="J402" s="381" t="s">
        <v>2627</v>
      </c>
      <c r="K402" s="299">
        <v>551</v>
      </c>
      <c r="L402" s="303">
        <v>551</v>
      </c>
      <c r="M402" s="299">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8" t="s">
        <v>737</v>
      </c>
      <c r="H403" s="302" t="s">
        <v>751</v>
      </c>
      <c r="I403" s="302" t="s">
        <v>743</v>
      </c>
      <c r="J403" s="382" t="s">
        <v>2628</v>
      </c>
      <c r="K403" s="299">
        <v>552</v>
      </c>
      <c r="L403" s="303">
        <v>552</v>
      </c>
      <c r="M403" s="299">
        <v>552</v>
      </c>
      <c r="N403" s="331">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8" t="s">
        <v>738</v>
      </c>
      <c r="H404" s="302" t="s">
        <v>752</v>
      </c>
      <c r="I404" s="302" t="s">
        <v>744</v>
      </c>
      <c r="J404" s="381" t="s">
        <v>2629</v>
      </c>
      <c r="K404" s="299">
        <v>553</v>
      </c>
      <c r="L404" s="303">
        <v>553</v>
      </c>
      <c r="M404" s="299">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8" t="s">
        <v>739</v>
      </c>
      <c r="H405" s="302" t="s">
        <v>753</v>
      </c>
      <c r="I405" s="302" t="s">
        <v>745</v>
      </c>
      <c r="J405" s="382" t="s">
        <v>2630</v>
      </c>
      <c r="K405" s="299">
        <v>554</v>
      </c>
      <c r="L405" s="299">
        <v>554</v>
      </c>
      <c r="M405" s="299">
        <v>554</v>
      </c>
      <c r="N405" s="331">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8" t="s">
        <v>3011</v>
      </c>
      <c r="H406" s="302" t="s">
        <v>3020</v>
      </c>
      <c r="I406" s="302" t="s">
        <v>3022</v>
      </c>
      <c r="J406" s="381" t="s">
        <v>3024</v>
      </c>
      <c r="K406" s="299" t="s">
        <v>356</v>
      </c>
      <c r="L406" s="299" t="s">
        <v>686</v>
      </c>
      <c r="M406" s="299"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7" t="s">
        <v>3010</v>
      </c>
      <c r="H407" s="302" t="s">
        <v>3021</v>
      </c>
      <c r="I407" s="302" t="s">
        <v>3023</v>
      </c>
      <c r="J407" s="382" t="s">
        <v>3025</v>
      </c>
      <c r="K407" s="291" t="s">
        <v>356</v>
      </c>
      <c r="L407" s="299" t="s">
        <v>686</v>
      </c>
      <c r="M407" s="299" t="s">
        <v>362</v>
      </c>
      <c r="N407" s="331"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7" t="s">
        <v>740</v>
      </c>
      <c r="H408" s="302" t="s">
        <v>754</v>
      </c>
      <c r="I408" s="302" t="s">
        <v>746</v>
      </c>
      <c r="J408" s="381" t="s">
        <v>2650</v>
      </c>
      <c r="K408" s="291">
        <v>559</v>
      </c>
      <c r="L408" s="299">
        <v>559</v>
      </c>
      <c r="M408" s="299">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0" t="s">
        <v>377</v>
      </c>
      <c r="H409" s="302" t="s">
        <v>581</v>
      </c>
      <c r="I409" s="302" t="s">
        <v>378</v>
      </c>
      <c r="J409" s="384" t="s">
        <v>2651</v>
      </c>
      <c r="K409" s="291"/>
      <c r="L409" s="291"/>
      <c r="M409" s="291"/>
      <c r="N409" s="312"/>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7" t="s">
        <v>379</v>
      </c>
      <c r="H410" s="302" t="s">
        <v>582</v>
      </c>
      <c r="I410" s="302" t="s">
        <v>3009</v>
      </c>
      <c r="J410" s="381" t="s">
        <v>2652</v>
      </c>
      <c r="K410" s="291" t="s">
        <v>34</v>
      </c>
      <c r="L410" s="299" t="s">
        <v>687</v>
      </c>
      <c r="M410" s="299"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7" t="s">
        <v>380</v>
      </c>
      <c r="H411" s="56" t="s">
        <v>583</v>
      </c>
      <c r="I411" s="56" t="s">
        <v>381</v>
      </c>
      <c r="J411" s="382" t="s">
        <v>2653</v>
      </c>
      <c r="K411" s="291" t="s">
        <v>35</v>
      </c>
      <c r="L411" s="291" t="s">
        <v>688</v>
      </c>
      <c r="M411" s="291" t="s">
        <v>27</v>
      </c>
      <c r="N411" s="331"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1" t="s">
        <v>2654</v>
      </c>
      <c r="K412" s="291">
        <v>479</v>
      </c>
      <c r="L412" s="291">
        <v>479</v>
      </c>
      <c r="M412" s="291">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2" t="s">
        <v>2655</v>
      </c>
      <c r="K413" s="291">
        <v>279</v>
      </c>
      <c r="L413" s="291">
        <v>279</v>
      </c>
      <c r="M413" s="291">
        <v>279</v>
      </c>
      <c r="N413" s="331">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7" t="s">
        <v>588</v>
      </c>
      <c r="H414" s="56" t="s">
        <v>589</v>
      </c>
      <c r="I414" s="56" t="s">
        <v>384</v>
      </c>
      <c r="J414" s="381" t="s">
        <v>2656</v>
      </c>
      <c r="K414" s="291">
        <v>271</v>
      </c>
      <c r="L414" s="291">
        <v>271</v>
      </c>
      <c r="M414" s="291">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7" t="s">
        <v>385</v>
      </c>
      <c r="H415" s="56" t="s">
        <v>590</v>
      </c>
      <c r="I415" s="56" t="s">
        <v>386</v>
      </c>
      <c r="J415" s="382" t="s">
        <v>2657</v>
      </c>
      <c r="K415" s="291">
        <v>484</v>
      </c>
      <c r="L415" s="291">
        <v>484</v>
      </c>
      <c r="M415" s="291">
        <v>484</v>
      </c>
      <c r="N415" s="331">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7" t="s">
        <v>387</v>
      </c>
      <c r="H416" s="56" t="s">
        <v>591</v>
      </c>
      <c r="I416" s="56" t="s">
        <v>388</v>
      </c>
      <c r="J416" s="381" t="s">
        <v>2658</v>
      </c>
      <c r="K416" s="291">
        <v>480</v>
      </c>
      <c r="L416" s="291">
        <v>480</v>
      </c>
      <c r="M416" s="291">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7" t="s">
        <v>389</v>
      </c>
      <c r="H417" s="56" t="s">
        <v>592</v>
      </c>
      <c r="I417" s="56" t="s">
        <v>390</v>
      </c>
      <c r="J417" s="382" t="s">
        <v>2659</v>
      </c>
      <c r="K417" s="291" t="s">
        <v>733</v>
      </c>
      <c r="L417" s="291" t="s">
        <v>747</v>
      </c>
      <c r="M417" s="291"/>
      <c r="N417" s="331"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7" t="s">
        <v>351</v>
      </c>
      <c r="H418" s="56" t="s">
        <v>593</v>
      </c>
      <c r="I418" s="56" t="s">
        <v>391</v>
      </c>
      <c r="J418" s="381" t="s">
        <v>2660</v>
      </c>
      <c r="K418" s="291" t="s">
        <v>733</v>
      </c>
      <c r="L418" s="291" t="s">
        <v>747</v>
      </c>
      <c r="M418" s="291"/>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7" t="s">
        <v>352</v>
      </c>
      <c r="H419" s="56" t="s">
        <v>594</v>
      </c>
      <c r="I419" s="56" t="s">
        <v>392</v>
      </c>
      <c r="J419" s="382" t="s">
        <v>2661</v>
      </c>
      <c r="K419" s="291" t="s">
        <v>733</v>
      </c>
      <c r="L419" s="291" t="s">
        <v>747</v>
      </c>
      <c r="M419" s="291"/>
      <c r="N419" s="337"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1"/>
      <c r="L420" s="291"/>
      <c r="M420" s="291"/>
      <c r="N420" s="289"/>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4" t="str">
        <f>CONCATENATE("1. Stanje na dan ", Podesavanja!$X$6, " god.")</f>
        <v>1. Stanje na dan 01.01.2023. god.</v>
      </c>
      <c r="H421" s="305" t="str">
        <f>CONCATENATE("1. Стање на дан ", Podesavanja!$X$6, " год.")</f>
        <v>1. Стање на дан 01.01.2023. год.</v>
      </c>
      <c r="I421" s="305" t="str">
        <f>CONCATENATE("1. Value on day ", Podesavanja!$Y$6)</f>
        <v>1. Value on day 01.01.2023</v>
      </c>
      <c r="J421" s="305" t="str">
        <f>CONCATENATE("1. Состояние на дату", Podesavanja!$Y$6)</f>
        <v>1. Состояние на дату01.01.2023</v>
      </c>
      <c r="K421" s="291" t="s">
        <v>702</v>
      </c>
      <c r="L421" s="291" t="s">
        <v>702</v>
      </c>
      <c r="M421" s="291" t="s">
        <v>702</v>
      </c>
      <c r="N421" s="291"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4"/>
      <c r="H422" s="305"/>
      <c r="I422" s="305"/>
      <c r="K422" s="291"/>
      <c r="L422" s="291"/>
      <c r="M422" s="291"/>
      <c r="N422" s="291"/>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7" t="s">
        <v>1603</v>
      </c>
      <c r="H423" s="56" t="s">
        <v>1631</v>
      </c>
      <c r="I423" s="56" t="s">
        <v>2490</v>
      </c>
      <c r="J423" s="282" t="s">
        <v>2437</v>
      </c>
      <c r="K423" s="291" t="s">
        <v>703</v>
      </c>
      <c r="L423" s="291" t="s">
        <v>703</v>
      </c>
      <c r="M423" s="291" t="s">
        <v>703</v>
      </c>
      <c r="N423" s="291"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7" t="s">
        <v>2242</v>
      </c>
      <c r="H424" s="56" t="s">
        <v>2239</v>
      </c>
      <c r="I424" s="56" t="s">
        <v>2491</v>
      </c>
      <c r="J424" s="282" t="s">
        <v>2438</v>
      </c>
      <c r="K424" s="291" t="s">
        <v>704</v>
      </c>
      <c r="L424" s="291" t="s">
        <v>704</v>
      </c>
      <c r="M424" s="291" t="s">
        <v>704</v>
      </c>
      <c r="N424" s="291"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09" t="str">
        <f>CONCATENATE("4. Ponovo iskazano stanje na dan ", Podesavanja!$X$6, " god. (901 ± 902 ± 903)")</f>
        <v>4. Ponovo iskazano stanje na dan 01.01.2023. god. (901 ± 902 ± 903)</v>
      </c>
      <c r="H425" s="305" t="str">
        <f>CONCATENATE("4. Поново исказано стање на дан ", Podesavanja!$X$6, " год.  (901 ± 902 ± 903)")</f>
        <v>4. Поново исказано стање на дан 01.01.2023. год.  (901 ± 902 ± 903)</v>
      </c>
      <c r="I425" s="305" t="str">
        <f>CONCATENATE("4. New value on day ",  Podesavanja!$Y$6, " (901 ± 902 ± 903)")</f>
        <v>4. New value on day 01.01.2023 (901 ± 902 ± 903)</v>
      </c>
      <c r="J425" s="308" t="str">
        <f>CONCATENATE("4. Повторно представленное состояние на дату ", Podesavanja!$X$6, " года (901 ± 902 ± 903)")</f>
        <v>4. Повторно представленное состояние на дату 01.01.2023. года (901 ± 902 ± 903)</v>
      </c>
      <c r="K425" s="291" t="s">
        <v>705</v>
      </c>
      <c r="L425" s="291" t="s">
        <v>705</v>
      </c>
      <c r="M425" s="291" t="s">
        <v>705</v>
      </c>
      <c r="N425" s="291"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5"/>
      <c r="H426" s="305"/>
      <c r="I426" s="305"/>
      <c r="K426" s="291"/>
      <c r="L426" s="291"/>
      <c r="M426" s="291"/>
      <c r="N426" s="291"/>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7" t="s">
        <v>2488</v>
      </c>
      <c r="J427" s="282" t="s">
        <v>2439</v>
      </c>
      <c r="K427" s="291" t="s">
        <v>706</v>
      </c>
      <c r="L427" s="291" t="s">
        <v>706</v>
      </c>
      <c r="M427" s="291" t="s">
        <v>706</v>
      </c>
      <c r="N427" s="291"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7" t="s">
        <v>2489</v>
      </c>
      <c r="J428" s="282" t="s">
        <v>2440</v>
      </c>
      <c r="K428" s="291" t="s">
        <v>707</v>
      </c>
      <c r="L428" s="291" t="s">
        <v>707</v>
      </c>
      <c r="M428" s="291" t="s">
        <v>707</v>
      </c>
      <c r="N428" s="291"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09" t="s">
        <v>2879</v>
      </c>
      <c r="H429" s="309" t="s">
        <v>2882</v>
      </c>
      <c r="I429" s="309" t="s">
        <v>2880</v>
      </c>
      <c r="J429" s="283" t="s">
        <v>2881</v>
      </c>
      <c r="K429" s="291" t="s">
        <v>708</v>
      </c>
      <c r="L429" s="291" t="s">
        <v>708</v>
      </c>
      <c r="M429" s="291" t="s">
        <v>708</v>
      </c>
      <c r="N429" s="291"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1"/>
      <c r="L430" s="291"/>
      <c r="M430" s="291"/>
      <c r="N430" s="291"/>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7" t="s">
        <v>2492</v>
      </c>
      <c r="J431" s="282" t="s">
        <v>2441</v>
      </c>
      <c r="K431" s="291" t="s">
        <v>709</v>
      </c>
      <c r="L431" s="291" t="s">
        <v>709</v>
      </c>
      <c r="M431" s="291" t="s">
        <v>709</v>
      </c>
      <c r="N431" s="291"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7" t="s">
        <v>2493</v>
      </c>
      <c r="J432" s="282" t="s">
        <v>2442</v>
      </c>
      <c r="K432" s="291" t="s">
        <v>710</v>
      </c>
      <c r="L432" s="291" t="s">
        <v>710</v>
      </c>
      <c r="M432" s="291" t="s">
        <v>710</v>
      </c>
      <c r="N432" s="291"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7" t="s">
        <v>2486</v>
      </c>
      <c r="J433" s="282" t="s">
        <v>2443</v>
      </c>
      <c r="K433" s="291" t="s">
        <v>711</v>
      </c>
      <c r="L433" s="291" t="s">
        <v>711</v>
      </c>
      <c r="M433" s="291" t="s">
        <v>711</v>
      </c>
      <c r="N433" s="291"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7" t="s">
        <v>2487</v>
      </c>
      <c r="J434" s="282" t="s">
        <v>2444</v>
      </c>
      <c r="K434" s="291" t="s">
        <v>712</v>
      </c>
      <c r="L434" s="291" t="s">
        <v>712</v>
      </c>
      <c r="M434" s="291" t="s">
        <v>712</v>
      </c>
      <c r="N434" s="291"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5" t="s">
        <v>1608</v>
      </c>
      <c r="H435" s="305" t="s">
        <v>1637</v>
      </c>
      <c r="I435" s="305" t="s">
        <v>2485</v>
      </c>
      <c r="J435" s="305" t="s">
        <v>2445</v>
      </c>
      <c r="K435" s="291" t="s">
        <v>713</v>
      </c>
      <c r="L435" s="291" t="s">
        <v>713</v>
      </c>
      <c r="M435" s="291" t="s">
        <v>713</v>
      </c>
      <c r="N435" s="291"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5"/>
      <c r="H436" s="305"/>
      <c r="I436" s="305"/>
      <c r="J436" s="284"/>
      <c r="K436" s="291"/>
      <c r="L436" s="291"/>
      <c r="M436" s="291"/>
      <c r="N436" s="291"/>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5" t="str">
        <f>CONCATENATE("13. Stanje na dan ", Podesavanja!$X$5, " god. / ", Podesavanja!$X$4, " god. 
   (904 ± 907 ± 908 - 909 - 910 ± 911 ± 912)")</f>
        <v>13. Stanje na dan 31.12.2023. god. / 01.01.2024. god. 
   (904 ± 907 ± 908 - 909 - 910 ± 911 ± 912)</v>
      </c>
      <c r="H437" s="305" t="str">
        <f>CONCATENATE("13. Стање на дан ", Podesavanja!$X$5, " год. / ", Podesavanja!$X$4, " год. 
(904 ± 907 ± 908 - 909 - 910 ± 911 ± 912)")</f>
        <v>13. Стање на дан 31.12.2023. год. / 01.01.2024. год. 
(904 ± 907 ± 908 - 909 - 910 ± 911 ± 912)</v>
      </c>
      <c r="I437" s="305" t="str">
        <f>CONCATENATE("13. Value on day ", Podesavanja!$Y$5," / ", Podesavanja!$Y$4, " 
(904 ± 907 ± 908 - 909 - 910 ± 911 ± 912)")</f>
        <v>13. Value on day 31.12.2023 / 01.01.2024 
(904 ± 907 ± 908 - 909 - 910 ± 911 ± 912)</v>
      </c>
      <c r="J437" s="305" t="str">
        <f>CONCATENATE("13. Состояние на дату ", Podesavanja!$X$5, " года / ", Podesavanja!$X$4, " god. 
(904 ± 907 ± 908 - 909 - 910 ± 911 ± 912)")</f>
        <v>13. Состояние на дату 31.12.2023. года / 01.01.2024. god. 
(904 ± 907 ± 908 - 909 - 910 ± 911 ± 912)</v>
      </c>
      <c r="K437" s="291" t="s">
        <v>714</v>
      </c>
      <c r="L437" s="291" t="s">
        <v>714</v>
      </c>
      <c r="M437" s="291" t="s">
        <v>714</v>
      </c>
      <c r="N437" s="291"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0"/>
      <c r="H438" s="56"/>
      <c r="I438" s="56"/>
      <c r="K438" s="291"/>
      <c r="L438" s="291"/>
      <c r="M438" s="291"/>
      <c r="N438" s="291"/>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7" t="s">
        <v>2494</v>
      </c>
      <c r="J439" s="282" t="s">
        <v>2446</v>
      </c>
      <c r="K439" s="291" t="s">
        <v>715</v>
      </c>
      <c r="L439" s="291" t="s">
        <v>715</v>
      </c>
      <c r="M439" s="291" t="s">
        <v>715</v>
      </c>
      <c r="N439" s="291"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7" t="s">
        <v>2495</v>
      </c>
      <c r="J440" s="282" t="s">
        <v>2447</v>
      </c>
      <c r="K440" s="291" t="s">
        <v>1422</v>
      </c>
      <c r="L440" s="291" t="s">
        <v>1422</v>
      </c>
      <c r="M440" s="291" t="s">
        <v>1422</v>
      </c>
      <c r="N440" s="291"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5" t="str">
        <f>CONCATENATE("16. Ponovo iskazano stanje na dan ", Podesavanja!$X$4, " godine (913 ± 914 ± 915)")</f>
        <v>16. Ponovo iskazano stanje na dan 01.01.2024. godine (913 ± 914 ± 915)</v>
      </c>
      <c r="H441" s="305" t="str">
        <f>CONCATENATE("16. Поново исказано стање на дан ", Podesavanja!$X$4, " године (913 ± 914 ± 915)")</f>
        <v>16. Поново исказано стање на дан 01.01.2024. године (913 ± 914 ± 915)</v>
      </c>
      <c r="I441" s="305" t="str">
        <f>CONCATENATE("16. New value on day ",  Podesavanja!$Y$4," (913 ± 914 ± 915)")</f>
        <v>16. New value on day 01.01.2024 (913 ± 914 ± 915)</v>
      </c>
      <c r="J441" s="305" t="str">
        <f>CONCATENATE("16. Повторно представленное состояние", Podesavanja!$X$4, " года (913 ± 914 ± 915)")</f>
        <v>16. Повторно представленное состояние01.01.2024. года (913 ± 914 ± 915)</v>
      </c>
      <c r="K441" s="291" t="s">
        <v>1616</v>
      </c>
      <c r="L441" s="291" t="s">
        <v>1616</v>
      </c>
      <c r="M441" s="291" t="s">
        <v>1616</v>
      </c>
      <c r="N441" s="291"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5"/>
      <c r="H442" s="305"/>
      <c r="I442" s="305"/>
      <c r="J442" s="284"/>
      <c r="K442" s="291"/>
      <c r="L442" s="291"/>
      <c r="M442" s="291"/>
      <c r="N442" s="291"/>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7" t="s">
        <v>2496</v>
      </c>
      <c r="J443" s="281" t="s">
        <v>2448</v>
      </c>
      <c r="K443" s="291" t="s">
        <v>1617</v>
      </c>
      <c r="L443" s="291" t="s">
        <v>1617</v>
      </c>
      <c r="M443" s="291" t="s">
        <v>1617</v>
      </c>
      <c r="N443" s="291"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7" t="s">
        <v>2897</v>
      </c>
      <c r="J444" s="281" t="s">
        <v>2449</v>
      </c>
      <c r="K444" s="291" t="s">
        <v>1618</v>
      </c>
      <c r="L444" s="291" t="s">
        <v>1618</v>
      </c>
      <c r="M444" s="291" t="s">
        <v>1618</v>
      </c>
      <c r="N444" s="291"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09" t="s">
        <v>2243</v>
      </c>
      <c r="H445" s="309" t="s">
        <v>2244</v>
      </c>
      <c r="I445" s="309" t="s">
        <v>2501</v>
      </c>
      <c r="J445" s="309" t="s">
        <v>2450</v>
      </c>
      <c r="K445" s="291" t="s">
        <v>1619</v>
      </c>
      <c r="L445" s="291" t="s">
        <v>1619</v>
      </c>
      <c r="M445" s="291" t="s">
        <v>1619</v>
      </c>
      <c r="N445" s="291"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1"/>
      <c r="L446" s="291"/>
      <c r="M446" s="291"/>
      <c r="N446" s="291"/>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6" t="s">
        <v>2497</v>
      </c>
      <c r="J447" s="281" t="s">
        <v>2451</v>
      </c>
      <c r="K447" s="291" t="s">
        <v>1620</v>
      </c>
      <c r="L447" s="291" t="s">
        <v>1620</v>
      </c>
      <c r="M447" s="291" t="s">
        <v>1620</v>
      </c>
      <c r="N447" s="291"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7" t="s">
        <v>2498</v>
      </c>
      <c r="J448" s="281" t="s">
        <v>2452</v>
      </c>
      <c r="K448" s="291" t="s">
        <v>1621</v>
      </c>
      <c r="L448" s="291" t="s">
        <v>1621</v>
      </c>
      <c r="M448" s="291" t="s">
        <v>1621</v>
      </c>
      <c r="N448" s="291"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7" t="s">
        <v>2499</v>
      </c>
      <c r="J449" s="281" t="s">
        <v>2453</v>
      </c>
      <c r="K449" s="291" t="s">
        <v>1622</v>
      </c>
      <c r="L449" s="291" t="s">
        <v>1622</v>
      </c>
      <c r="M449" s="291" t="s">
        <v>1622</v>
      </c>
      <c r="N449" s="291"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7" t="s">
        <v>2500</v>
      </c>
      <c r="J450" s="281" t="s">
        <v>2454</v>
      </c>
      <c r="K450" s="291" t="s">
        <v>1623</v>
      </c>
      <c r="L450" s="291" t="s">
        <v>1623</v>
      </c>
      <c r="M450" s="291" t="s">
        <v>1623</v>
      </c>
      <c r="N450" s="291"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7" t="s">
        <v>2502</v>
      </c>
      <c r="J451" s="281" t="s">
        <v>2455</v>
      </c>
      <c r="K451" s="291" t="s">
        <v>1624</v>
      </c>
      <c r="L451" s="291" t="s">
        <v>1624</v>
      </c>
      <c r="M451" s="291" t="s">
        <v>1624</v>
      </c>
      <c r="N451" s="291"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4"/>
      <c r="K452" s="291"/>
      <c r="L452" s="291"/>
      <c r="M452" s="291"/>
      <c r="N452" s="291"/>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30.09.2024. godine (916 ± 919 ± 920  - 921 - 922± 923 ± 924)</v>
      </c>
      <c r="G453" s="305" t="str">
        <f>CONCATENATE("25. Stanje na dan ",Datum_Format," godine (916 ± 919 ± 920  - 921 - 922± 923 ± 924)")</f>
        <v>25. Stanje na dan 30.09.2024. godine (916 ± 919 ± 920  - 921 - 922± 923 ± 924)</v>
      </c>
      <c r="H453" s="305" t="str">
        <f>CONCATENATE("25. Стање на дан ",Datum_Format," године (916 ± 919 ± 920  - 921 - 922± 923 ± 924)")</f>
        <v>25. Стање на дан 30.09.2024. године (916 ± 919 ± 920  - 921 - 922± 923 ± 924)</v>
      </c>
      <c r="I453" s="305" t="str">
        <f>CONCATENATE("25. Value on day ",  Podesavanja!$Y$3,"(916 ± 919 ± 920  - 921 - 922± 923 ± 924)")</f>
        <v>25. Value on day 30.09.2024(916 ± 919 ± 920  - 921 - 922± 923 ± 924)</v>
      </c>
      <c r="J453" s="305" t="str">
        <f>CONCATENATE("25. Состояние на дату ",  ,Datum_Format," года (916 ± 919 ± 920  - 921 - 922± 923 ± 924)")</f>
        <v>25. Состояние на дату 30.09.2024. года (916 ± 919 ± 920  - 921 - 922± 923 ± 924)</v>
      </c>
      <c r="K453" s="291" t="s">
        <v>1625</v>
      </c>
      <c r="L453" s="291" t="s">
        <v>1625</v>
      </c>
      <c r="M453" s="291" t="s">
        <v>1625</v>
      </c>
      <c r="N453" s="291" t="s">
        <v>1625</v>
      </c>
      <c r="O453" s="10">
        <v>1</v>
      </c>
      <c r="P453" s="10"/>
    </row>
  </sheetData>
  <sheetProtection sheet="1" objects="1" scenarios="1"/>
  <phoneticPr fontId="26"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tabSelected="1" zoomScaleSheetLayoutView="100" workbookViewId="0">
      <pane ySplit="4" topLeftCell="A26" activePane="bottomLeft" state="frozen"/>
      <selection activeCell="S33" sqref="S33"/>
      <selection pane="bottomLeft" activeCell="P61" sqref="P61"/>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60" t="str">
        <f>Zaglavlje_Naziv_preduzeca</f>
        <v xml:space="preserve">Naziv privrednog društva, zadruge, drugog pravnog lica ili preduzetnika: </v>
      </c>
      <c r="E5" s="660"/>
      <c r="F5" s="660"/>
      <c r="O5" s="15" t="s">
        <v>786</v>
      </c>
      <c r="P5" s="674" t="str">
        <f>Podatak_MB</f>
        <v>01814788</v>
      </c>
      <c r="Q5" s="674"/>
    </row>
    <row r="6" spans="3:17" x14ac:dyDescent="0.2">
      <c r="D6" s="660"/>
      <c r="E6" s="660"/>
      <c r="F6" s="660"/>
      <c r="Q6" s="242" t="str">
        <f>Zaglavlje_MB</f>
        <v>Matični broj</v>
      </c>
    </row>
    <row r="7" spans="3:17" ht="15" customHeight="1" x14ac:dyDescent="0.2">
      <c r="D7" s="672" t="str">
        <f>Podatak_Naziv_preduzeca</f>
        <v>Elektrodistribucija a.d. Pale</v>
      </c>
      <c r="E7" s="672"/>
      <c r="F7" s="672"/>
      <c r="P7" s="674" t="str">
        <f>Podatak_Sifra_djelatnosti</f>
        <v>35.13</v>
      </c>
      <c r="Q7" s="674"/>
    </row>
    <row r="8" spans="3:17" x14ac:dyDescent="0.2">
      <c r="D8" s="125" t="str">
        <f>Zaglavlje_Sjediste</f>
        <v>Sjedište:</v>
      </c>
      <c r="E8" s="684" t="str">
        <f>Podatak_Sjediste</f>
        <v>Pale</v>
      </c>
      <c r="F8" s="684"/>
      <c r="Q8" s="242" t="str">
        <f>Zaglavlje_Sifra_djelatnosti</f>
        <v>Šifra djelatnosti</v>
      </c>
    </row>
    <row r="9" spans="3:17" x14ac:dyDescent="0.2">
      <c r="D9" s="671" t="str">
        <f>Zaglavlje_Ziro_racun</f>
        <v>Račun kod ovlašćene organizacije za platni promet:</v>
      </c>
      <c r="E9" s="671"/>
      <c r="F9" s="671"/>
      <c r="H9" s="14"/>
      <c r="Q9" s="391" t="str">
        <f>Podatak_JIB</f>
        <v>4400570050004</v>
      </c>
    </row>
    <row r="10" spans="3:17" x14ac:dyDescent="0.2">
      <c r="D10" s="673" t="str">
        <f>Podatak_Ziro_racun_1</f>
        <v>562-012-00002669-48</v>
      </c>
      <c r="E10" s="673"/>
      <c r="F10" s="673"/>
      <c r="Q10" s="242" t="str">
        <f>Zaglavlje_JIB</f>
        <v>JIB</v>
      </c>
    </row>
    <row r="11" spans="3:17" x14ac:dyDescent="0.2">
      <c r="C11" s="256"/>
      <c r="D11" s="673" t="str">
        <f>Podatak_Ziro_racun_2</f>
        <v>555-002-00004363-23</v>
      </c>
      <c r="E11" s="673"/>
      <c r="F11" s="673"/>
      <c r="H11" s="14"/>
    </row>
    <row r="12" spans="3:17" x14ac:dyDescent="0.2">
      <c r="C12" s="256"/>
      <c r="D12" s="717" t="str">
        <f>Podatak_Ziro_racun_3</f>
        <v>567-491-10000002-86</v>
      </c>
      <c r="E12" s="717"/>
      <c r="F12" s="717"/>
    </row>
    <row r="13" spans="3:17" x14ac:dyDescent="0.2">
      <c r="C13" s="256"/>
      <c r="D13" s="717" t="str">
        <f>Podatak_Ziro_racun_4</f>
        <v/>
      </c>
      <c r="E13" s="717"/>
      <c r="F13" s="717"/>
      <c r="H13" s="18"/>
      <c r="I13" s="18"/>
      <c r="J13" s="18"/>
      <c r="K13" s="19"/>
      <c r="L13" s="19"/>
      <c r="M13" s="19"/>
      <c r="N13" s="19"/>
      <c r="O13" s="18"/>
      <c r="P13"/>
      <c r="Q13"/>
    </row>
    <row r="14" spans="3:17" ht="15.75" x14ac:dyDescent="0.2">
      <c r="C14" s="256"/>
      <c r="D14" s="685" t="str">
        <f>IF( Id_Konsolidovani, Nazivi_bilansa_Konsolidovani_naziv &amp; LOWER( Nazivi_bilansa_BPK), Nazivi_bilansa_BPK)</f>
        <v>Konsolidovani izvještaj o promjenama na kapitalu</v>
      </c>
      <c r="E14" s="685"/>
      <c r="F14" s="685"/>
      <c r="G14" s="685"/>
      <c r="H14" s="685"/>
      <c r="I14" s="685"/>
      <c r="J14" s="685"/>
      <c r="K14" s="685"/>
      <c r="L14" s="685"/>
      <c r="M14" s="685"/>
      <c r="N14" s="685"/>
      <c r="O14" s="685"/>
      <c r="P14" s="685"/>
      <c r="Q14" s="685"/>
    </row>
    <row r="15" spans="3:17" x14ac:dyDescent="0.2">
      <c r="C15" s="256"/>
      <c r="D15" s="670" t="str">
        <f>Datumi_Datum_BPK</f>
        <v>za period koji se završava na dan 30.09.2024. godine</v>
      </c>
      <c r="E15" s="670"/>
      <c r="F15" s="670"/>
      <c r="G15" s="670"/>
      <c r="H15" s="670"/>
      <c r="I15" s="670"/>
      <c r="J15" s="670"/>
      <c r="K15" s="670"/>
      <c r="L15" s="670"/>
      <c r="M15" s="670"/>
      <c r="N15" s="670"/>
      <c r="O15" s="670"/>
      <c r="P15" s="670"/>
      <c r="Q15" s="670"/>
    </row>
    <row r="16" spans="3:17" x14ac:dyDescent="0.2">
      <c r="C16" s="256"/>
      <c r="D16" s="469"/>
      <c r="E16" s="469"/>
      <c r="F16" s="469"/>
      <c r="G16" s="469"/>
      <c r="H16" s="469"/>
      <c r="I16" s="469"/>
      <c r="J16" s="469"/>
      <c r="K16" s="469"/>
      <c r="L16" s="469"/>
      <c r="M16" s="469"/>
      <c r="N16" s="469"/>
      <c r="O16" s="469"/>
      <c r="P16" s="469"/>
      <c r="Q16" s="470" t="str">
        <f>Tabele_zaglavlje_Valuta</f>
        <v>- u konvertibilnim markama -</v>
      </c>
    </row>
    <row r="17" spans="2:19" x14ac:dyDescent="0.2">
      <c r="C17" s="256"/>
      <c r="D17" s="785" t="str">
        <f>Tabele_zaglavlje_BPK1</f>
        <v>VRSTA PROMJENE NA KAPITALU</v>
      </c>
      <c r="E17" s="786"/>
      <c r="F17" s="787"/>
      <c r="G17" s="802" t="str">
        <f>Tabele_zaglavlje_Oznaka_aop</f>
        <v>Oznaka za AOP</v>
      </c>
      <c r="H17" s="803" t="str">
        <f>Tabele_zaglavlje_BPK0</f>
        <v>KAPITAL KOJI PRIPADA VLASNICIMA MATIČNOG DRUŠTVA</v>
      </c>
      <c r="I17" s="804"/>
      <c r="J17" s="804"/>
      <c r="K17" s="804"/>
      <c r="L17" s="804"/>
      <c r="M17" s="804"/>
      <c r="N17" s="804"/>
      <c r="O17" s="805"/>
      <c r="P17" s="781" t="str">
        <f>Tabele_zaglavlje_BPK11</f>
        <v>UDJELI KOJI NEMAJU KONTROLU (MANJINSKI INTERESI)</v>
      </c>
      <c r="Q17" s="783" t="str" cm="1">
        <f t="array" ref="Q17">Tabele_zaglavlje_BPK12</f>
        <v>UKUPNI KAPITAL
(10+11)</v>
      </c>
    </row>
    <row r="18" spans="2:19" ht="106.5" customHeight="1" x14ac:dyDescent="0.2">
      <c r="C18" s="256"/>
      <c r="D18" s="788"/>
      <c r="E18" s="789"/>
      <c r="F18" s="656"/>
      <c r="G18" s="658"/>
      <c r="H18" s="484" t="str">
        <f>Tabele_zaglavlje_BPK3</f>
        <v>Akcijski kapital - 
vlasnički udjeli</v>
      </c>
      <c r="I18" s="484" t="str">
        <f>Tabele_zaglavlje_BPK4</f>
        <v>Emisiona premija</v>
      </c>
      <c r="J18" s="484" t="str">
        <f>Tabele_zaglavlje_BPK5</f>
        <v>Rezerve</v>
      </c>
      <c r="K18" s="484" t="str">
        <f>Tabele_zaglavlje_BPK6</f>
        <v>Revalorizacione 
rezerve za 
nekretnine, 
postrojenja i opremu</v>
      </c>
      <c r="L18" s="484" t="str">
        <f>Tabele_zaglavlje_BPK7</f>
        <v>Revalorizacione rezerve za finansijska sredstva vrednovana po fer vrijednosti kroz ostali ukupni rezultat</v>
      </c>
      <c r="M18" s="484" t="str">
        <f>Tabele_zaglavlje_BPK8</f>
        <v>Ostale revalorizacione rezerve</v>
      </c>
      <c r="N18" s="484" t="str">
        <f>Tabele_zaglavlje_BPK9</f>
        <v>Akumulirana neraspoređena dobit/(nepokriveni gubitak)</v>
      </c>
      <c r="O18" s="484" t="str">
        <f>Tabele_zaglavlje_BPK10</f>
        <v>Ukupno 
(3+4+5+6±7± 8 ± 9)</v>
      </c>
      <c r="P18" s="782"/>
      <c r="Q18" s="784"/>
      <c r="S18" s="134" t="s">
        <v>490</v>
      </c>
    </row>
    <row r="19" spans="2:19" x14ac:dyDescent="0.2">
      <c r="B19" s="44" t="s">
        <v>123</v>
      </c>
      <c r="C19" s="256"/>
      <c r="D19" s="799">
        <v>1</v>
      </c>
      <c r="E19" s="800"/>
      <c r="F19" s="801"/>
      <c r="G19" s="25">
        <v>2</v>
      </c>
      <c r="H19" s="25">
        <v>3</v>
      </c>
      <c r="I19" s="25">
        <v>4</v>
      </c>
      <c r="J19" s="25">
        <v>5</v>
      </c>
      <c r="K19" s="25">
        <v>6</v>
      </c>
      <c r="L19" s="25">
        <v>7</v>
      </c>
      <c r="M19" s="25">
        <v>8</v>
      </c>
      <c r="N19" s="25">
        <v>9</v>
      </c>
      <c r="O19" s="25">
        <v>10</v>
      </c>
      <c r="P19" s="25">
        <v>11</v>
      </c>
      <c r="Q19" s="471">
        <v>12</v>
      </c>
    </row>
    <row r="20" spans="2:19" ht="7.5" customHeight="1" x14ac:dyDescent="0.2">
      <c r="B20" s="47">
        <v>419</v>
      </c>
      <c r="C20" s="256"/>
      <c r="D20" s="809" t="str">
        <f>VLOOKUP($B20,Aop!$A$2:$M$453,6,1)</f>
        <v/>
      </c>
      <c r="E20" s="810"/>
      <c r="F20" s="811"/>
      <c r="G20" s="185">
        <f>VLOOKUP($B20,Aop!$A$2:$M$453,4,1)</f>
        <v>0</v>
      </c>
      <c r="H20" s="64"/>
      <c r="I20" s="64"/>
      <c r="J20" s="64"/>
      <c r="K20" s="64"/>
      <c r="L20" s="64"/>
      <c r="M20" s="64"/>
      <c r="N20" s="64"/>
      <c r="O20" s="64"/>
      <c r="P20" s="64"/>
      <c r="Q20" s="463"/>
    </row>
    <row r="21" spans="2:19" ht="12.75" customHeight="1" x14ac:dyDescent="0.2">
      <c r="B21" s="47">
        <v>420</v>
      </c>
      <c r="C21" s="256"/>
      <c r="D21" s="790" t="str">
        <f>VLOOKUP($B21,Aop!$A$2:$M$453,6,1)</f>
        <v>1. Stanje na dan 01.01.2023. god.</v>
      </c>
      <c r="E21" s="791"/>
      <c r="F21" s="792"/>
      <c r="G21" s="178">
        <f>VLOOKUP($B21,Aop!$A$2:$M$453,4,1)</f>
        <v>901</v>
      </c>
      <c r="H21" s="589">
        <v>15795899</v>
      </c>
      <c r="I21" s="589">
        <v>0</v>
      </c>
      <c r="J21" s="589">
        <v>9006387</v>
      </c>
      <c r="K21" s="589">
        <v>29859808</v>
      </c>
      <c r="L21" s="589">
        <v>0</v>
      </c>
      <c r="M21" s="589">
        <v>0</v>
      </c>
      <c r="N21" s="589">
        <v>37454440</v>
      </c>
      <c r="O21" s="60">
        <f t="shared" ref="O21:O51" si="0">SUM(H21:N21)</f>
        <v>92116534</v>
      </c>
      <c r="P21" s="81"/>
      <c r="Q21" s="464">
        <f t="shared" ref="Q21:Q51" si="1">SUM(O21:P21)</f>
        <v>92116534</v>
      </c>
    </row>
    <row r="22" spans="2:19" ht="7.5" customHeight="1" x14ac:dyDescent="0.2">
      <c r="B22" s="47">
        <v>421</v>
      </c>
      <c r="C22" s="256"/>
      <c r="D22" s="793" t="str">
        <f>VLOOKUP($B22,Aop!$A$2:$M$453,6,1)</f>
        <v/>
      </c>
      <c r="E22" s="794"/>
      <c r="F22" s="795"/>
      <c r="G22" s="75">
        <f>VLOOKUP($B22,Aop!$A$2:$M$453,4,1)</f>
        <v>0</v>
      </c>
      <c r="H22" s="64"/>
      <c r="I22" s="64"/>
      <c r="J22" s="64"/>
      <c r="K22" s="64"/>
      <c r="L22" s="64"/>
      <c r="M22" s="64"/>
      <c r="N22" s="64"/>
      <c r="O22" s="64"/>
      <c r="P22" s="64"/>
      <c r="Q22" s="463"/>
    </row>
    <row r="23" spans="2:19" ht="15" customHeight="1" x14ac:dyDescent="0.2">
      <c r="B23" s="47">
        <v>422</v>
      </c>
      <c r="C23" s="256"/>
      <c r="D23" s="796" t="str">
        <f>VLOOKUP($B23,Aop!$A$2:$M$453,6,1)</f>
        <v xml:space="preserve">    2. Efekti promjena u računovodstvenim politikama </v>
      </c>
      <c r="E23" s="797"/>
      <c r="F23" s="798"/>
      <c r="G23" s="59">
        <f>VLOOKUP($B23,Aop!$A$2:$M$453,4,1)</f>
        <v>902</v>
      </c>
      <c r="H23" s="155"/>
      <c r="I23" s="155"/>
      <c r="J23" s="155"/>
      <c r="K23" s="155"/>
      <c r="L23" s="155"/>
      <c r="M23" s="155"/>
      <c r="N23" s="155"/>
      <c r="O23" s="153">
        <f t="shared" si="0"/>
        <v>0</v>
      </c>
      <c r="P23" s="155"/>
      <c r="Q23" s="464">
        <f t="shared" si="1"/>
        <v>0</v>
      </c>
    </row>
    <row r="24" spans="2:19" ht="15" customHeight="1" x14ac:dyDescent="0.2">
      <c r="B24" s="47">
        <v>423</v>
      </c>
      <c r="C24" s="256"/>
      <c r="D24" s="793" t="str">
        <f>VLOOKUP($B24,Aop!$A$2:$M$453,6,1)</f>
        <v xml:space="preserve">    3. Efekti ispravki grešaka</v>
      </c>
      <c r="E24" s="794"/>
      <c r="F24" s="795"/>
      <c r="G24" s="75">
        <f>VLOOKUP($B24,Aop!$A$2:$M$453,4,1)</f>
        <v>903</v>
      </c>
      <c r="H24" s="157"/>
      <c r="I24" s="590"/>
      <c r="J24" s="590">
        <v>156447</v>
      </c>
      <c r="K24" s="590"/>
      <c r="L24" s="590"/>
      <c r="M24" s="590"/>
      <c r="N24" s="157">
        <v>-156447</v>
      </c>
      <c r="O24" s="154">
        <f t="shared" si="0"/>
        <v>0</v>
      </c>
      <c r="P24" s="157"/>
      <c r="Q24" s="465">
        <f t="shared" si="1"/>
        <v>0</v>
      </c>
    </row>
    <row r="25" spans="2:19" ht="23.25" customHeight="1" x14ac:dyDescent="0.2">
      <c r="B25" s="47">
        <v>424</v>
      </c>
      <c r="C25" s="256"/>
      <c r="D25" s="790" t="str">
        <f>VLOOKUP($B25,Aop!$A$2:$M$453,6,1)</f>
        <v xml:space="preserve">  4. Ponovo iskazano stanje na dan 01.01.2023. god. (901 ± 902 ± 903)</v>
      </c>
      <c r="E25" s="791"/>
      <c r="F25" s="792"/>
      <c r="G25" s="178">
        <f>VLOOKUP($B25,Aop!$A$2:$M$453,4,1)</f>
        <v>904</v>
      </c>
      <c r="H25" s="60">
        <f>SUM(H21:H24)</f>
        <v>15795899</v>
      </c>
      <c r="I25" s="60">
        <f t="shared" ref="I25:P25" si="2">SUM(I21:I24)</f>
        <v>0</v>
      </c>
      <c r="J25" s="60">
        <f t="shared" si="2"/>
        <v>9162834</v>
      </c>
      <c r="K25" s="60">
        <f t="shared" si="2"/>
        <v>29859808</v>
      </c>
      <c r="L25" s="60">
        <f t="shared" si="2"/>
        <v>0</v>
      </c>
      <c r="M25" s="60">
        <f t="shared" si="2"/>
        <v>0</v>
      </c>
      <c r="N25" s="60">
        <f t="shared" si="2"/>
        <v>37297993</v>
      </c>
      <c r="O25" s="60">
        <f>SUM(H25:N25)</f>
        <v>92116534</v>
      </c>
      <c r="P25" s="60">
        <f t="shared" si="2"/>
        <v>0</v>
      </c>
      <c r="Q25" s="464">
        <f t="shared" si="1"/>
        <v>92116534</v>
      </c>
      <c r="S25" s="133" t="s">
        <v>313</v>
      </c>
    </row>
    <row r="26" spans="2:19" ht="8.25" customHeight="1" x14ac:dyDescent="0.2">
      <c r="B26" s="47">
        <v>425</v>
      </c>
      <c r="C26" s="256"/>
      <c r="D26" s="793" t="str">
        <f>VLOOKUP($B26,Aop!$A$2:$M$453,6,1)</f>
        <v/>
      </c>
      <c r="E26" s="794"/>
      <c r="F26" s="795"/>
      <c r="G26" s="75">
        <f>VLOOKUP($B26,Aop!$A$2:$M$453,4,1)</f>
        <v>0</v>
      </c>
      <c r="H26" s="64"/>
      <c r="I26" s="64"/>
      <c r="J26" s="64"/>
      <c r="K26" s="64"/>
      <c r="L26" s="64"/>
      <c r="M26" s="64"/>
      <c r="N26" s="64"/>
      <c r="O26" s="64"/>
      <c r="P26" s="64"/>
      <c r="Q26" s="463"/>
      <c r="S26" s="133" t="s">
        <v>313</v>
      </c>
    </row>
    <row r="27" spans="2:19" ht="15" customHeight="1" x14ac:dyDescent="0.2">
      <c r="B27" s="47">
        <v>426</v>
      </c>
      <c r="C27" s="256"/>
      <c r="D27" s="796" t="str">
        <f>VLOOKUP($B27,Aop!$A$2:$M$453,6,1)</f>
        <v xml:space="preserve">    5. Dobit/(gubitak) za godinu</v>
      </c>
      <c r="E27" s="797"/>
      <c r="F27" s="798"/>
      <c r="G27" s="59">
        <f>VLOOKUP($B27,Aop!$A$2:$M$453,4,1)</f>
        <v>905</v>
      </c>
      <c r="H27" s="155"/>
      <c r="I27" s="155"/>
      <c r="J27" s="155"/>
      <c r="K27" s="591"/>
      <c r="L27" s="591"/>
      <c r="M27" s="591"/>
      <c r="N27" s="591">
        <v>3207175</v>
      </c>
      <c r="O27" s="153">
        <f t="shared" si="0"/>
        <v>3207175</v>
      </c>
      <c r="P27" s="155"/>
      <c r="Q27" s="466">
        <f t="shared" si="1"/>
        <v>3207175</v>
      </c>
    </row>
    <row r="28" spans="2:19" ht="15" customHeight="1" x14ac:dyDescent="0.2">
      <c r="B28" s="47">
        <v>427</v>
      </c>
      <c r="C28" s="256"/>
      <c r="D28" s="793" t="str">
        <f>VLOOKUP($B28,Aop!$A$2:$M$453,6,1)</f>
        <v xml:space="preserve">    6. Ostali ukupni rezultat za godinu</v>
      </c>
      <c r="E28" s="794"/>
      <c r="F28" s="795"/>
      <c r="G28" s="75">
        <f>VLOOKUP($B28,Aop!$A$2:$M$453,4,1)</f>
        <v>906</v>
      </c>
      <c r="H28" s="157"/>
      <c r="I28" s="157"/>
      <c r="J28" s="157"/>
      <c r="K28" s="590">
        <v>-2320090</v>
      </c>
      <c r="L28" s="590"/>
      <c r="M28" s="590"/>
      <c r="N28" s="590">
        <v>2320090</v>
      </c>
      <c r="O28" s="154">
        <f t="shared" si="0"/>
        <v>0</v>
      </c>
      <c r="P28" s="157"/>
      <c r="Q28" s="465">
        <f t="shared" si="1"/>
        <v>0</v>
      </c>
    </row>
    <row r="29" spans="2:19" ht="15" customHeight="1" x14ac:dyDescent="0.2">
      <c r="B29" s="47">
        <v>428</v>
      </c>
      <c r="C29" s="256"/>
      <c r="D29" s="790" t="str">
        <f>VLOOKUP($B29,Aop!$A$2:$M$453,6,1)</f>
        <v xml:space="preserve">  7. Ukupna dobit/(gubitak) (± 905 ± 906)</v>
      </c>
      <c r="E29" s="791"/>
      <c r="F29" s="792"/>
      <c r="G29" s="178">
        <f>VLOOKUP($B29,Aop!$A$2:$M$453,4,1)</f>
        <v>907</v>
      </c>
      <c r="H29" s="60">
        <f>SUM(H27:H28)</f>
        <v>0</v>
      </c>
      <c r="I29" s="60">
        <f t="shared" ref="I29:Q29" si="3">SUM(I27:I28)</f>
        <v>0</v>
      </c>
      <c r="J29" s="60">
        <f t="shared" si="3"/>
        <v>0</v>
      </c>
      <c r="K29" s="60">
        <f t="shared" si="3"/>
        <v>-2320090</v>
      </c>
      <c r="L29" s="60">
        <f t="shared" si="3"/>
        <v>0</v>
      </c>
      <c r="M29" s="60">
        <f t="shared" si="3"/>
        <v>0</v>
      </c>
      <c r="N29" s="60">
        <f t="shared" si="3"/>
        <v>5527265</v>
      </c>
      <c r="O29" s="60">
        <f t="shared" si="3"/>
        <v>3207175</v>
      </c>
      <c r="P29" s="60">
        <f t="shared" si="3"/>
        <v>0</v>
      </c>
      <c r="Q29" s="464">
        <f t="shared" si="3"/>
        <v>3207175</v>
      </c>
    </row>
    <row r="30" spans="2:19" ht="6.75" customHeight="1" x14ac:dyDescent="0.2">
      <c r="B30" s="47">
        <v>429</v>
      </c>
      <c r="C30" s="256"/>
      <c r="D30" s="793" t="str">
        <f>VLOOKUP($B30,Aop!$A$2:$M$453,6,1)</f>
        <v/>
      </c>
      <c r="E30" s="794"/>
      <c r="F30" s="795"/>
      <c r="G30" s="75">
        <f>VLOOKUP($B30,Aop!$A$2:$M$453,4,1)</f>
        <v>0</v>
      </c>
      <c r="H30" s="64"/>
      <c r="I30" s="64"/>
      <c r="J30" s="64"/>
      <c r="K30" s="64"/>
      <c r="L30" s="64"/>
      <c r="M30" s="64"/>
      <c r="N30" s="64"/>
      <c r="O30" s="64"/>
      <c r="P30" s="64"/>
      <c r="Q30" s="463"/>
    </row>
    <row r="31" spans="2:19" ht="15" customHeight="1" x14ac:dyDescent="0.2">
      <c r="B31" s="47">
        <v>430</v>
      </c>
      <c r="C31" s="256"/>
      <c r="D31" s="796" t="str">
        <f>VLOOKUP($B31,Aop!$A$2:$M$453,6,1)</f>
        <v xml:space="preserve">    8. Emisija akcijskog kapitala i drugi oblici povećanja kapitala</v>
      </c>
      <c r="E31" s="797"/>
      <c r="F31" s="798"/>
      <c r="G31" s="59">
        <f>VLOOKUP($B31,Aop!$A$2:$M$453,4,1)</f>
        <v>908</v>
      </c>
      <c r="H31" s="155"/>
      <c r="I31" s="155"/>
      <c r="J31" s="155"/>
      <c r="K31" s="155"/>
      <c r="L31" s="155"/>
      <c r="M31" s="155"/>
      <c r="N31" s="155"/>
      <c r="O31" s="60">
        <f t="shared" si="0"/>
        <v>0</v>
      </c>
      <c r="P31" s="155"/>
      <c r="Q31" s="464">
        <f t="shared" si="1"/>
        <v>0</v>
      </c>
      <c r="S31" s="133" t="s">
        <v>313</v>
      </c>
    </row>
    <row r="32" spans="2:19" ht="15" customHeight="1" x14ac:dyDescent="0.2">
      <c r="B32" s="47">
        <v>431</v>
      </c>
      <c r="C32" s="256"/>
      <c r="D32" s="793" t="str">
        <f>VLOOKUP($B32,Aop!$A$2:$M$453,6,1)</f>
        <v xml:space="preserve">    9. Sticanje sopstvenih akcija i drugi oblici smanjenja kapitala</v>
      </c>
      <c r="E32" s="794"/>
      <c r="F32" s="795"/>
      <c r="G32" s="75">
        <f>VLOOKUP($B32,Aop!$A$2:$M$453,4,1)</f>
        <v>909</v>
      </c>
      <c r="H32" s="157"/>
      <c r="I32" s="157"/>
      <c r="J32" s="157"/>
      <c r="K32" s="157"/>
      <c r="L32" s="157"/>
      <c r="M32" s="157"/>
      <c r="N32" s="157"/>
      <c r="O32" s="154">
        <f t="shared" si="0"/>
        <v>0</v>
      </c>
      <c r="P32" s="157"/>
      <c r="Q32" s="465">
        <f t="shared" si="1"/>
        <v>0</v>
      </c>
    </row>
    <row r="33" spans="2:19" ht="15" customHeight="1" x14ac:dyDescent="0.2">
      <c r="B33" s="47">
        <v>432</v>
      </c>
      <c r="C33" s="256"/>
      <c r="D33" s="796" t="str">
        <f>VLOOKUP($B33,Aop!$A$2:$M$453,6,1)</f>
        <v xml:space="preserve">    10. Objavljene dividende </v>
      </c>
      <c r="E33" s="797"/>
      <c r="F33" s="798"/>
      <c r="G33" s="59">
        <f>VLOOKUP($B33,Aop!$A$2:$M$453,4,1)</f>
        <v>910</v>
      </c>
      <c r="H33" s="155"/>
      <c r="I33" s="155"/>
      <c r="J33" s="155"/>
      <c r="K33" s="155"/>
      <c r="L33" s="155"/>
      <c r="M33" s="155"/>
      <c r="N33" s="155"/>
      <c r="O33" s="153">
        <f t="shared" si="0"/>
        <v>0</v>
      </c>
      <c r="P33" s="155"/>
      <c r="Q33" s="466">
        <f t="shared" si="1"/>
        <v>0</v>
      </c>
    </row>
    <row r="34" spans="2:19" ht="15" customHeight="1" x14ac:dyDescent="0.2">
      <c r="B34" s="47">
        <v>433</v>
      </c>
      <c r="C34" s="256"/>
      <c r="D34" s="793" t="str">
        <f>VLOOKUP($B34,Aop!$A$2:$M$453,6,1)</f>
        <v xml:space="preserve">    11. Drugi oblici raspodjele dobiti i pokriće gubitka</v>
      </c>
      <c r="E34" s="794"/>
      <c r="F34" s="795"/>
      <c r="G34" s="75">
        <f>VLOOKUP($B34,Aop!$A$2:$M$453,4,1)</f>
        <v>911</v>
      </c>
      <c r="H34" s="157"/>
      <c r="I34" s="157"/>
      <c r="J34" s="590">
        <f>307443+38129</f>
        <v>345572</v>
      </c>
      <c r="K34" s="590"/>
      <c r="L34" s="590"/>
      <c r="M34" s="590"/>
      <c r="N34" s="590">
        <f>-307443-114711</f>
        <v>-422154</v>
      </c>
      <c r="O34" s="64">
        <f t="shared" si="0"/>
        <v>-76582</v>
      </c>
      <c r="P34" s="157"/>
      <c r="Q34" s="463">
        <f t="shared" si="1"/>
        <v>-76582</v>
      </c>
    </row>
    <row r="35" spans="2:19" ht="15" customHeight="1" x14ac:dyDescent="0.2">
      <c r="B35" s="47">
        <v>434</v>
      </c>
      <c r="C35" s="256"/>
      <c r="D35" s="796" t="str">
        <f>VLOOKUP($B35,Aop!$A$2:$M$453,6,1)</f>
        <v xml:space="preserve">    12. Ostale promjene</v>
      </c>
      <c r="E35" s="797"/>
      <c r="F35" s="798"/>
      <c r="G35" s="59">
        <f>VLOOKUP($B35,Aop!$A$2:$M$453,4,1)</f>
        <v>912</v>
      </c>
      <c r="H35" s="155"/>
      <c r="I35" s="155"/>
      <c r="J35" s="591">
        <f xml:space="preserve"> 4037739-88510</f>
        <v>3949229</v>
      </c>
      <c r="K35" s="591">
        <v>-12629</v>
      </c>
      <c r="L35" s="591"/>
      <c r="M35" s="591"/>
      <c r="N35" s="591">
        <f>88509+12630</f>
        <v>101139</v>
      </c>
      <c r="O35" s="153">
        <f t="shared" si="0"/>
        <v>4037739</v>
      </c>
      <c r="P35" s="155"/>
      <c r="Q35" s="466">
        <f t="shared" si="1"/>
        <v>4037739</v>
      </c>
    </row>
    <row r="36" spans="2:19" ht="9" customHeight="1" x14ac:dyDescent="0.2">
      <c r="B36" s="47">
        <v>435</v>
      </c>
      <c r="C36" s="256"/>
      <c r="D36" s="793" t="str">
        <f>VLOOKUP($B36,Aop!$A$2:$M$453,6,1)</f>
        <v/>
      </c>
      <c r="E36" s="794"/>
      <c r="F36" s="795"/>
      <c r="G36" s="75">
        <f>VLOOKUP($B36,Aop!$A$2:$M$453,4,1)</f>
        <v>0</v>
      </c>
      <c r="H36" s="64"/>
      <c r="I36" s="64"/>
      <c r="J36" s="64"/>
      <c r="K36" s="64"/>
      <c r="L36" s="64"/>
      <c r="M36" s="64"/>
      <c r="N36" s="64"/>
      <c r="O36" s="64"/>
      <c r="P36" s="64"/>
      <c r="Q36" s="463"/>
      <c r="S36" s="133" t="s">
        <v>313</v>
      </c>
    </row>
    <row r="37" spans="2:19" ht="25.5" x14ac:dyDescent="0.2">
      <c r="B37" s="47">
        <v>436</v>
      </c>
      <c r="C37" s="256"/>
      <c r="D37" s="790" t="str">
        <f>VLOOKUP($B37,Aop!$A$2:$M$453,6,1)</f>
        <v xml:space="preserve">  13. Stanje na dan 31.12.2023. god. / 01.01.2024. god. 
   (904 ± 907 ± 908 - 909 - 910 ± 911 ± 912)</v>
      </c>
      <c r="E37" s="791"/>
      <c r="F37" s="792"/>
      <c r="G37" s="178">
        <f>VLOOKUP($B37,Aop!$A$2:$M$453,4,1)</f>
        <v>913</v>
      </c>
      <c r="H37" s="60">
        <f>SUM(H25, H29, -H32, -H33, H31, H34:H35)</f>
        <v>15795899</v>
      </c>
      <c r="I37" s="60">
        <f t="shared" ref="I37:Q37" si="4">SUM(I25, I29, -I32, -I33, I31, I34:I35)</f>
        <v>0</v>
      </c>
      <c r="J37" s="60">
        <f t="shared" si="4"/>
        <v>13457635</v>
      </c>
      <c r="K37" s="60">
        <f t="shared" si="4"/>
        <v>27527089</v>
      </c>
      <c r="L37" s="60">
        <f t="shared" si="4"/>
        <v>0</v>
      </c>
      <c r="M37" s="60">
        <f t="shared" si="4"/>
        <v>0</v>
      </c>
      <c r="N37" s="60">
        <f t="shared" si="4"/>
        <v>42504243</v>
      </c>
      <c r="O37" s="60">
        <f t="shared" si="4"/>
        <v>99284866</v>
      </c>
      <c r="P37" s="60">
        <f t="shared" si="4"/>
        <v>0</v>
      </c>
      <c r="Q37" s="464">
        <f t="shared" si="4"/>
        <v>99284866</v>
      </c>
      <c r="S37" s="133" t="s">
        <v>313</v>
      </c>
    </row>
    <row r="38" spans="2:19" ht="9" customHeight="1" x14ac:dyDescent="0.2">
      <c r="B38" s="47">
        <v>437</v>
      </c>
      <c r="C38" s="256"/>
      <c r="D38" s="793" t="str">
        <f>VLOOKUP($B38,Aop!$A$2:$M$453,6,1)</f>
        <v/>
      </c>
      <c r="E38" s="794"/>
      <c r="F38" s="795"/>
      <c r="G38" s="75">
        <f>VLOOKUP($B38,Aop!$A$2:$M$453,4,1)</f>
        <v>0</v>
      </c>
      <c r="H38" s="64"/>
      <c r="I38" s="64"/>
      <c r="J38" s="64"/>
      <c r="K38" s="64"/>
      <c r="L38" s="64"/>
      <c r="M38" s="64"/>
      <c r="N38" s="64"/>
      <c r="O38" s="64"/>
      <c r="P38" s="64"/>
      <c r="Q38" s="463"/>
    </row>
    <row r="39" spans="2:19" ht="15.75" customHeight="1" x14ac:dyDescent="0.2">
      <c r="B39" s="47">
        <v>438</v>
      </c>
      <c r="C39" s="256"/>
      <c r="D39" s="796" t="str">
        <f>VLOOKUP($B39,Aop!$A$2:$M$453,6,1)</f>
        <v xml:space="preserve">    14. Efekti promjena u računovodstvenim politikama</v>
      </c>
      <c r="E39" s="797"/>
      <c r="F39" s="798"/>
      <c r="G39" s="59">
        <f>VLOOKUP($B39,Aop!$A$2:$M$453,4,1)</f>
        <v>914</v>
      </c>
      <c r="H39" s="155"/>
      <c r="I39" s="155"/>
      <c r="J39" s="155"/>
      <c r="K39" s="591"/>
      <c r="L39" s="591"/>
      <c r="M39" s="591"/>
      <c r="N39" s="591"/>
      <c r="O39" s="153">
        <f t="shared" si="0"/>
        <v>0</v>
      </c>
      <c r="P39" s="155"/>
      <c r="Q39" s="466">
        <f t="shared" si="1"/>
        <v>0</v>
      </c>
    </row>
    <row r="40" spans="2:19" ht="15.75" customHeight="1" x14ac:dyDescent="0.2">
      <c r="B40" s="47">
        <v>439</v>
      </c>
      <c r="C40" s="256"/>
      <c r="D40" s="793" t="str">
        <f>VLOOKUP($B40,Aop!$A$2:$M$453,6,1)</f>
        <v xml:space="preserve">    15. Efekti ispravki grešaka</v>
      </c>
      <c r="E40" s="794"/>
      <c r="F40" s="795"/>
      <c r="G40" s="75">
        <f>VLOOKUP($B40,Aop!$A$2:$M$453,4,1)</f>
        <v>915</v>
      </c>
      <c r="H40" s="157"/>
      <c r="I40" s="157"/>
      <c r="J40" s="157"/>
      <c r="K40" s="590"/>
      <c r="L40" s="590"/>
      <c r="M40" s="590"/>
      <c r="N40" s="590"/>
      <c r="O40" s="64">
        <f t="shared" si="0"/>
        <v>0</v>
      </c>
      <c r="P40" s="157"/>
      <c r="Q40" s="463">
        <f t="shared" si="1"/>
        <v>0</v>
      </c>
    </row>
    <row r="41" spans="2:19" ht="15.75" customHeight="1" x14ac:dyDescent="0.2">
      <c r="B41" s="47">
        <v>440</v>
      </c>
      <c r="C41" s="256"/>
      <c r="D41" s="790" t="str">
        <f>VLOOKUP($B41,Aop!$A$2:$M$453,6,1)</f>
        <v xml:space="preserve">  16. Ponovo iskazano stanje na dan 01.01.2024. godine (913 ± 914 ± 915)</v>
      </c>
      <c r="E41" s="791"/>
      <c r="F41" s="792"/>
      <c r="G41" s="178">
        <f>VLOOKUP($B41,Aop!$A$2:$M$453,4,1)</f>
        <v>916</v>
      </c>
      <c r="H41" s="60">
        <f>SUM(H37:H40)</f>
        <v>15795899</v>
      </c>
      <c r="I41" s="60">
        <f t="shared" ref="I41:Q41" si="5">SUM(I37:I40)</f>
        <v>0</v>
      </c>
      <c r="J41" s="60">
        <f t="shared" si="5"/>
        <v>13457635</v>
      </c>
      <c r="K41" s="60">
        <f t="shared" si="5"/>
        <v>27527089</v>
      </c>
      <c r="L41" s="60">
        <f t="shared" si="5"/>
        <v>0</v>
      </c>
      <c r="M41" s="60">
        <f t="shared" si="5"/>
        <v>0</v>
      </c>
      <c r="N41" s="60">
        <f t="shared" si="5"/>
        <v>42504243</v>
      </c>
      <c r="O41" s="60">
        <f t="shared" si="5"/>
        <v>99284866</v>
      </c>
      <c r="P41" s="60">
        <f t="shared" si="5"/>
        <v>0</v>
      </c>
      <c r="Q41" s="464">
        <f t="shared" si="5"/>
        <v>99284866</v>
      </c>
    </row>
    <row r="42" spans="2:19" ht="6.75" customHeight="1" x14ac:dyDescent="0.2">
      <c r="B42" s="47">
        <v>441</v>
      </c>
      <c r="C42" s="256"/>
      <c r="D42" s="793" t="str">
        <f>VLOOKUP($B42,Aop!$A$2:$M$453,6,1)</f>
        <v/>
      </c>
      <c r="E42" s="794"/>
      <c r="F42" s="795"/>
      <c r="G42" s="75">
        <f>VLOOKUP($B42,Aop!$A$2:$M$453,4,1)</f>
        <v>0</v>
      </c>
      <c r="H42" s="64"/>
      <c r="I42" s="64"/>
      <c r="J42" s="64"/>
      <c r="K42" s="64"/>
      <c r="L42" s="64"/>
      <c r="M42" s="64"/>
      <c r="N42" s="64"/>
      <c r="O42" s="64"/>
      <c r="P42" s="64"/>
      <c r="Q42" s="463"/>
    </row>
    <row r="43" spans="2:19" ht="15" customHeight="1" x14ac:dyDescent="0.2">
      <c r="B43" s="47">
        <v>442</v>
      </c>
      <c r="C43" s="256"/>
      <c r="D43" s="796" t="str">
        <f>VLOOKUP($B43,Aop!$A$2:$M$453,6,1)</f>
        <v xml:space="preserve">    17. Dobit/(gubitak) za godinu</v>
      </c>
      <c r="E43" s="797"/>
      <c r="F43" s="798"/>
      <c r="G43" s="59">
        <f>VLOOKUP($B43,Aop!$A$2:$M$453,4,1)</f>
        <v>917</v>
      </c>
      <c r="H43" s="155"/>
      <c r="I43" s="155"/>
      <c r="J43" s="155"/>
      <c r="K43" s="155"/>
      <c r="L43" s="155"/>
      <c r="M43" s="155"/>
      <c r="N43" s="155">
        <v>516533</v>
      </c>
      <c r="O43" s="153">
        <f t="shared" si="0"/>
        <v>516533</v>
      </c>
      <c r="P43" s="155"/>
      <c r="Q43" s="466">
        <f t="shared" si="1"/>
        <v>516533</v>
      </c>
    </row>
    <row r="44" spans="2:19" ht="15" customHeight="1" x14ac:dyDescent="0.2">
      <c r="B44" s="47">
        <v>443</v>
      </c>
      <c r="C44" s="256"/>
      <c r="D44" s="793" t="str">
        <f>VLOOKUP($B44,Aop!$A$2:$M$453,6,1)</f>
        <v xml:space="preserve">    18. Ostali ukupni rezultat za godinu</v>
      </c>
      <c r="E44" s="794"/>
      <c r="F44" s="795"/>
      <c r="G44" s="75">
        <f>VLOOKUP($B44,Aop!$A$2:$M$453,4,1)</f>
        <v>918</v>
      </c>
      <c r="H44" s="157"/>
      <c r="I44" s="157"/>
      <c r="J44" s="157"/>
      <c r="K44" s="157"/>
      <c r="L44" s="157"/>
      <c r="M44" s="157"/>
      <c r="N44" s="157"/>
      <c r="O44" s="64">
        <f t="shared" si="0"/>
        <v>0</v>
      </c>
      <c r="P44" s="157"/>
      <c r="Q44" s="463">
        <f t="shared" si="1"/>
        <v>0</v>
      </c>
    </row>
    <row r="45" spans="2:19" ht="15" customHeight="1" x14ac:dyDescent="0.2">
      <c r="B45" s="47">
        <v>444</v>
      </c>
      <c r="C45" s="256"/>
      <c r="D45" s="790" t="str">
        <f>VLOOKUP($B45,Aop!$A$2:$M$453,6,1)</f>
        <v xml:space="preserve">  19. Ukupna dobit/(gubitak) (± 917 ± 918)</v>
      </c>
      <c r="E45" s="791"/>
      <c r="F45" s="792"/>
      <c r="G45" s="178">
        <f>VLOOKUP($B45,Aop!$A$2:$M$453,4,1)</f>
        <v>919</v>
      </c>
      <c r="H45" s="60">
        <f>SUM(H43:H44)</f>
        <v>0</v>
      </c>
      <c r="I45" s="60">
        <f t="shared" ref="I45:Q45" si="6">SUM(I43:I44)</f>
        <v>0</v>
      </c>
      <c r="J45" s="60">
        <f t="shared" si="6"/>
        <v>0</v>
      </c>
      <c r="K45" s="60">
        <f>SUM(K43:K44)</f>
        <v>0</v>
      </c>
      <c r="L45" s="60">
        <f t="shared" si="6"/>
        <v>0</v>
      </c>
      <c r="M45" s="60">
        <f t="shared" si="6"/>
        <v>0</v>
      </c>
      <c r="N45" s="60">
        <f t="shared" si="6"/>
        <v>516533</v>
      </c>
      <c r="O45" s="60">
        <f t="shared" si="6"/>
        <v>516533</v>
      </c>
      <c r="P45" s="60">
        <f t="shared" si="6"/>
        <v>0</v>
      </c>
      <c r="Q45" s="464">
        <f t="shared" si="6"/>
        <v>516533</v>
      </c>
    </row>
    <row r="46" spans="2:19" ht="4.5" customHeight="1" x14ac:dyDescent="0.2">
      <c r="B46" s="47">
        <v>445</v>
      </c>
      <c r="C46" s="256"/>
      <c r="D46" s="793" t="str">
        <f>VLOOKUP($B46,Aop!$A$2:$M$453,6,1)</f>
        <v/>
      </c>
      <c r="E46" s="794"/>
      <c r="F46" s="795"/>
      <c r="G46" s="75">
        <f>VLOOKUP($B46,Aop!$A$2:$M$453,4,1)</f>
        <v>0</v>
      </c>
      <c r="H46" s="64"/>
      <c r="I46" s="64"/>
      <c r="J46" s="64"/>
      <c r="K46" s="64"/>
      <c r="L46" s="64"/>
      <c r="M46" s="64"/>
      <c r="N46" s="64"/>
      <c r="O46" s="64"/>
      <c r="P46" s="64"/>
      <c r="Q46" s="463"/>
    </row>
    <row r="47" spans="2:19" ht="15.75" customHeight="1" x14ac:dyDescent="0.2">
      <c r="B47" s="47">
        <v>446</v>
      </c>
      <c r="C47" s="256"/>
      <c r="D47" s="796" t="str">
        <f>VLOOKUP($B47,Aop!$A$2:$M$453,6,1)</f>
        <v xml:space="preserve">    20. Emisija akcijskog kapitala i drugi oblici povećanja kapitala</v>
      </c>
      <c r="E47" s="797"/>
      <c r="F47" s="798"/>
      <c r="G47" s="59">
        <f>VLOOKUP($B47,Aop!$A$2:$M$453,4,1)</f>
        <v>920</v>
      </c>
      <c r="H47" s="155"/>
      <c r="I47" s="155"/>
      <c r="J47" s="155"/>
      <c r="K47" s="155"/>
      <c r="L47" s="155"/>
      <c r="M47" s="155"/>
      <c r="N47" s="155"/>
      <c r="O47" s="153">
        <f t="shared" si="0"/>
        <v>0</v>
      </c>
      <c r="P47" s="155"/>
      <c r="Q47" s="466">
        <f t="shared" si="1"/>
        <v>0</v>
      </c>
    </row>
    <row r="48" spans="2:19" ht="18.75" customHeight="1" x14ac:dyDescent="0.2">
      <c r="B48" s="47">
        <v>447</v>
      </c>
      <c r="C48" s="256"/>
      <c r="D48" s="793" t="str">
        <f>VLOOKUP($B48,Aop!$A$2:$M$453,6,1)</f>
        <v xml:space="preserve">    21. Sticanje sopstvenih akcija i drugi oblici smanjenja kapitala</v>
      </c>
      <c r="E48" s="794"/>
      <c r="F48" s="795"/>
      <c r="G48" s="75">
        <f>VLOOKUP($B48,Aop!$A$2:$M$453,4,1)</f>
        <v>921</v>
      </c>
      <c r="H48" s="157"/>
      <c r="I48" s="157"/>
      <c r="J48" s="157"/>
      <c r="K48" s="157"/>
      <c r="L48" s="157"/>
      <c r="M48" s="157"/>
      <c r="N48" s="157"/>
      <c r="O48" s="64">
        <f t="shared" si="0"/>
        <v>0</v>
      </c>
      <c r="P48" s="157"/>
      <c r="Q48" s="463">
        <f t="shared" si="1"/>
        <v>0</v>
      </c>
    </row>
    <row r="49" spans="2:17" ht="15" customHeight="1" x14ac:dyDescent="0.2">
      <c r="B49" s="47">
        <v>448</v>
      </c>
      <c r="C49" s="256"/>
      <c r="D49" s="796" t="str">
        <f>VLOOKUP($B49,Aop!$A$2:$M$453,6,1)</f>
        <v xml:space="preserve">    22. Objavljene dividende </v>
      </c>
      <c r="E49" s="797"/>
      <c r="F49" s="798"/>
      <c r="G49" s="59">
        <f>VLOOKUP($B49,Aop!$A$2:$M$453,4,1)</f>
        <v>922</v>
      </c>
      <c r="H49" s="155"/>
      <c r="I49" s="155"/>
      <c r="J49" s="155"/>
      <c r="K49" s="155"/>
      <c r="L49" s="155"/>
      <c r="M49" s="155"/>
      <c r="N49" s="155"/>
      <c r="O49" s="153">
        <f t="shared" si="0"/>
        <v>0</v>
      </c>
      <c r="P49" s="155"/>
      <c r="Q49" s="466">
        <f t="shared" si="1"/>
        <v>0</v>
      </c>
    </row>
    <row r="50" spans="2:17" ht="15" customHeight="1" x14ac:dyDescent="0.2">
      <c r="B50" s="47">
        <v>449</v>
      </c>
      <c r="C50" s="256"/>
      <c r="D50" s="793" t="str">
        <f>VLOOKUP($B50,Aop!$A$2:$M$453,6,1)</f>
        <v xml:space="preserve">    23. Drugi oblici raspodjele dobiti i pokriće gubitka</v>
      </c>
      <c r="E50" s="794"/>
      <c r="F50" s="795"/>
      <c r="G50" s="75">
        <f>VLOOKUP($B50,Aop!$A$2:$M$453,4,1)</f>
        <v>923</v>
      </c>
      <c r="H50" s="157"/>
      <c r="I50" s="157"/>
      <c r="J50" s="157">
        <v>301335</v>
      </c>
      <c r="K50" s="157"/>
      <c r="L50" s="157"/>
      <c r="M50" s="157"/>
      <c r="N50" s="157">
        <v>-362601</v>
      </c>
      <c r="O50" s="64">
        <f t="shared" si="0"/>
        <v>-61266</v>
      </c>
      <c r="P50" s="157"/>
      <c r="Q50" s="463">
        <f t="shared" si="1"/>
        <v>-61266</v>
      </c>
    </row>
    <row r="51" spans="2:17" ht="15" customHeight="1" x14ac:dyDescent="0.2">
      <c r="B51" s="47">
        <v>450</v>
      </c>
      <c r="C51" s="256"/>
      <c r="D51" s="796" t="str">
        <f>VLOOKUP($B51,Aop!$A$2:$M$453,6,1)</f>
        <v xml:space="preserve">    24. Ostale promjene</v>
      </c>
      <c r="E51" s="797"/>
      <c r="F51" s="798"/>
      <c r="G51" s="59">
        <f>VLOOKUP($B51,Aop!$A$2:$M$453,4,1)</f>
        <v>924</v>
      </c>
      <c r="H51" s="155"/>
      <c r="I51" s="155"/>
      <c r="J51" s="155">
        <v>1170685</v>
      </c>
      <c r="K51" s="155"/>
      <c r="L51" s="155"/>
      <c r="M51" s="155"/>
      <c r="N51" s="155">
        <v>-2157</v>
      </c>
      <c r="O51" s="153">
        <f t="shared" si="0"/>
        <v>1168528</v>
      </c>
      <c r="P51" s="155"/>
      <c r="Q51" s="466">
        <f t="shared" si="1"/>
        <v>1168528</v>
      </c>
    </row>
    <row r="52" spans="2:17" ht="7.5" customHeight="1" x14ac:dyDescent="0.2">
      <c r="B52" s="47">
        <v>451</v>
      </c>
      <c r="C52" s="256"/>
      <c r="D52" s="793" t="str">
        <f>VLOOKUP($B52,Aop!$A$2:$M$453,6,1)</f>
        <v/>
      </c>
      <c r="E52" s="794"/>
      <c r="F52" s="795"/>
      <c r="G52" s="75">
        <f>VLOOKUP($B52,Aop!$A$2:$M$453,4,1)</f>
        <v>0</v>
      </c>
      <c r="H52" s="64"/>
      <c r="I52" s="64"/>
      <c r="J52" s="64"/>
      <c r="K52" s="64"/>
      <c r="L52" s="64"/>
      <c r="M52" s="64"/>
      <c r="N52" s="64"/>
      <c r="O52" s="64"/>
      <c r="P52" s="64"/>
      <c r="Q52" s="463"/>
    </row>
    <row r="53" spans="2:17" ht="22.5" customHeight="1" x14ac:dyDescent="0.2">
      <c r="B53" s="47">
        <v>452</v>
      </c>
      <c r="C53" s="256"/>
      <c r="D53" s="806" t="str">
        <f>VLOOKUP($B53,Aop!$A$2:$M$453,6,1)</f>
        <v>25. Stanje na dan 30.09.2024. godine (916 ± 919 ± 920  - 921 - 922± 923 ± 924)</v>
      </c>
      <c r="E53" s="807"/>
      <c r="F53" s="808"/>
      <c r="G53" s="501">
        <f>VLOOKUP($B53,Aop!$A$2:$M$453,4,1)</f>
        <v>925</v>
      </c>
      <c r="H53" s="467">
        <f>SUM(H41, H45,H47,-H48,-H49,H50:H51)</f>
        <v>15795899</v>
      </c>
      <c r="I53" s="467">
        <f t="shared" ref="I53:Q53" si="7">SUM(I41, I45,I47,-I48,-I49,I50:I51)</f>
        <v>0</v>
      </c>
      <c r="J53" s="467">
        <f t="shared" si="7"/>
        <v>14929655</v>
      </c>
      <c r="K53" s="467">
        <f t="shared" si="7"/>
        <v>27527089</v>
      </c>
      <c r="L53" s="467">
        <f t="shared" si="7"/>
        <v>0</v>
      </c>
      <c r="M53" s="467">
        <f t="shared" si="7"/>
        <v>0</v>
      </c>
      <c r="N53" s="467">
        <f t="shared" si="7"/>
        <v>42656018</v>
      </c>
      <c r="O53" s="414">
        <f>SUM(O41, O45,O47,-O48,-O49,O50:O51)</f>
        <v>100908661</v>
      </c>
      <c r="P53" s="467">
        <f t="shared" si="7"/>
        <v>0</v>
      </c>
      <c r="Q53" s="468">
        <f t="shared" si="7"/>
        <v>100908661</v>
      </c>
    </row>
    <row r="54" spans="2:17" x14ac:dyDescent="0.2">
      <c r="C54" s="256"/>
      <c r="D54" s="40"/>
      <c r="E54" s="40"/>
      <c r="F54" s="40"/>
      <c r="G54" s="40"/>
      <c r="H54" s="40"/>
      <c r="I54" s="232"/>
      <c r="J54" s="37"/>
      <c r="K54" s="37"/>
      <c r="L54" s="37"/>
      <c r="M54" s="37"/>
    </row>
    <row r="55" spans="2:17" x14ac:dyDescent="0.2">
      <c r="D55" s="180" t="str">
        <f>Podnozje_U</f>
        <v>U:</v>
      </c>
      <c r="E55" s="418" t="str">
        <f>Podatak_U</f>
        <v>Obavezan unos podataka u formi!</v>
      </c>
      <c r="H55" s="760" t="str">
        <f>Podnozje_Lice_sa_licencom</f>
        <v>Lice sa licencom:</v>
      </c>
      <c r="I55" s="760"/>
      <c r="K55" s="8" t="str">
        <f>Podnozje_Broj_licence</f>
        <v>Broj licence:</v>
      </c>
      <c r="L55" s="37"/>
      <c r="M55" s="37" t="str">
        <f>Podnozje_MP</f>
        <v>(M.P.)</v>
      </c>
      <c r="O55" s="760" t="str">
        <f>Podnozje_Direktor</f>
        <v>Lice ovlašćeno za zastupanje:</v>
      </c>
      <c r="P55" s="760"/>
    </row>
    <row r="56" spans="2:17" x14ac:dyDescent="0.2">
      <c r="C56" s="28"/>
      <c r="G56"/>
      <c r="H56" s="813" t="str">
        <f>Podatak_Lice_sa_licencom</f>
        <v>Slobodan Butulija</v>
      </c>
      <c r="I56" s="813"/>
      <c r="O56" s="761" t="str">
        <f>Podatak_Direktor</f>
        <v>Aco Stanišić ma. ecc</v>
      </c>
      <c r="P56" s="761"/>
    </row>
    <row r="57" spans="2:17" x14ac:dyDescent="0.2">
      <c r="D57" s="180" t="str">
        <f>Podnozje_Dana</f>
        <v>Dana:</v>
      </c>
      <c r="E57" s="417" t="str">
        <f>Podatak_Dana</f>
        <v>31.10.2024.</v>
      </c>
      <c r="F57" s="38"/>
      <c r="H57" s="812"/>
      <c r="I57" s="812"/>
      <c r="J57" s="9"/>
      <c r="K57" s="9" t="str">
        <f>Podatak_Broj_Licence</f>
        <v>0029/24</v>
      </c>
      <c r="L57" s="9"/>
      <c r="M57" s="9"/>
      <c r="O57" s="718"/>
      <c r="P57" s="718"/>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AD33"/>
  <sheetViews>
    <sheetView showGridLines="0" topLeftCell="H1"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45565</v>
      </c>
      <c r="I1">
        <f>VLOOKUP(Datum_Broj, $H$3:$L$6, 2, 0)</f>
        <v>3</v>
      </c>
      <c r="J1">
        <f>VLOOKUP(ID_Izvjestaj,$I$3:$L$6,3,1)</f>
        <v>9</v>
      </c>
      <c r="U1">
        <f>Period_Kraj_Godina</f>
        <v>2024</v>
      </c>
      <c r="V1">
        <f>Period_Kraj_Mjesec</f>
        <v>9</v>
      </c>
      <c r="W1">
        <f>Period_Kraj_Dan</f>
        <v>30</v>
      </c>
      <c r="X1" s="6" t="str">
        <f>TEXT( DATE( Godina, Period_Kraj_Mjesec, Period_Kraj_Dan), "dd.mm.yyyy.")</f>
        <v>30.09.2024.</v>
      </c>
      <c r="Y1" s="6" t="str">
        <f>TEXT( DATE( Godina, Period_Kraj_Mjesec, Period_Kraj_Dan), "dd.mm.yyyy")</f>
        <v>30.09.2024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5" t="s">
        <v>249</v>
      </c>
      <c r="AC2" s="225" t="s">
        <v>773</v>
      </c>
      <c r="AD2" s="225"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9</v>
      </c>
      <c r="V3">
        <f>Period_Kraj_Dan</f>
        <v>30</v>
      </c>
      <c r="W3" s="114">
        <f>DATE( Godina + T3, U3, V3)</f>
        <v>45565</v>
      </c>
      <c r="X3" t="str">
        <f>TEXT(W3, "dd.mm.yyyy.")</f>
        <v>30.09.2024.</v>
      </c>
      <c r="Y3" t="str">
        <f>TEXT(W3, "dd.mm.yyyy")</f>
        <v>30.09.2024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1</v>
      </c>
      <c r="AA10" s="257" t="str">
        <f>CONCATENATE(T_ApifKolone[[#This Row],[Bilans]],T_ApifKolone[[#This Row],[ApifKolona]])</f>
        <v>BSpKolona2</v>
      </c>
      <c r="AB10" s="257" t="s">
        <v>770</v>
      </c>
      <c r="AC10" s="257" t="s">
        <v>763</v>
      </c>
      <c r="AD10" s="563">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7" t="str">
        <f>CONCATENATE(T_ApifKolone[[#This Row],[Bilans]],T_ApifKolone[[#This Row],[ApifKolona]])</f>
        <v>BUbKolona2</v>
      </c>
      <c r="AB16" s="257" t="s">
        <v>264</v>
      </c>
      <c r="AC16" s="257" t="s">
        <v>763</v>
      </c>
      <c r="AD16" s="257">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7" t="str">
        <f>CONCATENATE(T_ApifKolone[[#This Row],[Bilans]],T_ApifKolone[[#This Row],[ApifKolona]])</f>
        <v>BTGKolona2</v>
      </c>
      <c r="AB19" s="257" t="s">
        <v>133</v>
      </c>
      <c r="AC19" s="257" t="s">
        <v>763</v>
      </c>
      <c r="AD19" s="257">
        <v>4</v>
      </c>
    </row>
    <row r="20" spans="24:30" x14ac:dyDescent="0.2">
      <c r="X20" s="113"/>
      <c r="AA20" t="str">
        <f>CONCATENATE(T_ApifKolone[[#This Row],[Bilans]],T_ApifKolone[[#This Row],[ApifKolona]])</f>
        <v>AneksKolona1</v>
      </c>
      <c r="AB20" t="s">
        <v>134</v>
      </c>
      <c r="AC20" t="s">
        <v>762</v>
      </c>
      <c r="AD20">
        <v>2</v>
      </c>
    </row>
    <row r="21" spans="24:30" x14ac:dyDescent="0.2">
      <c r="AA21" s="257" t="str">
        <f>CONCATENATE(T_ApifKolone[[#This Row],[Bilans]],T_ApifKolone[[#This Row],[ApifKolona]])</f>
        <v>AneksKolona2</v>
      </c>
      <c r="AB21" s="222" t="s">
        <v>134</v>
      </c>
      <c r="AC21" s="222" t="s">
        <v>763</v>
      </c>
      <c r="AD21" s="222">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7" t="str">
        <f>CONCATENATE(T_ApifKolone[[#This Row],[Bilans]],T_ApifKolone[[#This Row],[ApifKolona]])</f>
        <v>BPKKolona12</v>
      </c>
      <c r="AB33" s="257" t="s">
        <v>135</v>
      </c>
      <c r="AC33" s="257" t="s">
        <v>1627</v>
      </c>
      <c r="AD33" s="257">
        <v>13</v>
      </c>
    </row>
  </sheetData>
  <sheetProtection sheet="1" objects="1" scenarios="1"/>
  <phoneticPr fontId="26" type="noConversion"/>
  <pageMargins left="0.7" right="0.7" top="0.75" bottom="0.75" header="0.3" footer="0.3"/>
  <pageSetup paperSize="9" orientation="portrait" verticalDpi="200" r:id="rId1"/>
  <ignoredErrors>
    <ignoredError sqref="K3:K6" calculatedColumn="1"/>
  </ignoredErrors>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1</v>
      </c>
      <c r="G2" s="139">
        <f t="shared" ref="G2:G65" si="2">Datum_Broj</f>
        <v>45565</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348926572</v>
      </c>
      <c r="L2" s="55">
        <f t="shared" ref="L2:L65" ca="1" si="4">IF( VLOOKUP( $H2, INDIRECT( "Lookup_" &amp; $B2), IF( LEFT( $B2, 2) = "BS", R$2, R$1), 0) = "", "", VLOOKUP( $H2, INDIRECT( "Lookup_" &amp; $B2), IF( $B2 = "BSa", R$2, R$1), 0))</f>
        <v>201928999</v>
      </c>
      <c r="M2" s="55">
        <f ca="1">IF( VLOOKUP( $H2, INDIRECT( "Lookup_" &amp; $B2), IF( LEFT( $B2, 2) = "BS", S$2, S$1), 0) = "", "", VLOOKUP( $H2, INDIRECT( "Lookup_" &amp; $B2), IF( LEFT( $B2, 2) = "BS", S$2, S$1), 0))</f>
        <v>146997573</v>
      </c>
      <c r="N2" s="55">
        <f t="shared" ref="N2:N65" ca="1" si="5">IF( VLOOKUP( $H2, INDIRECT( "Lookup_" &amp; $B2), IF( LEFT( $B2, 2) = "BS", S$2, S$1), 0) = "", "", VLOOKUP( $H2, INDIRECT( "Lookup_" &amp; $B2), IF( LEFT( $B2, 2) = "BS", S$2, S$1), 0))</f>
        <v>146997573</v>
      </c>
      <c r="P2" s="2">
        <v>2</v>
      </c>
      <c r="Q2" s="2">
        <v>3</v>
      </c>
      <c r="R2" s="2">
        <v>4</v>
      </c>
      <c r="S2" s="2">
        <v>5</v>
      </c>
      <c r="T2" s="565">
        <v>6</v>
      </c>
    </row>
    <row r="3" spans="1:20" x14ac:dyDescent="0.2">
      <c r="A3" s="105">
        <v>2</v>
      </c>
      <c r="B3" s="105" t="str">
        <f>VLOOKUP( $A3, Aop!$A$2:$P$453, 2, 0)</f>
        <v>BSa</v>
      </c>
      <c r="C3" s="105">
        <v>25</v>
      </c>
      <c r="D3" s="105" t="str">
        <f t="shared" si="0"/>
        <v>01814788</v>
      </c>
      <c r="E3" s="105" t="str">
        <f t="shared" ref="E3:E65" si="6">Podatak_JIB</f>
        <v>4400570050004</v>
      </c>
      <c r="F3" s="105" t="b">
        <f t="shared" si="1"/>
        <v>1</v>
      </c>
      <c r="G3" s="139">
        <f t="shared" si="2"/>
        <v>45565</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7725272</v>
      </c>
      <c r="L3" s="55">
        <f t="shared" ca="1" si="4"/>
        <v>1499606</v>
      </c>
      <c r="M3" s="55">
        <f ca="1">IF( VLOOKUP( $H3, INDIRECT( "Lookup_" &amp; $B3), IF( LEFT( $B3, 2) = "BS", S$2, S$1), 0) = "", "", VLOOKUP( $H3, INDIRECT( "Lookup_" &amp; $B3), IF( LEFT( $B3, 2) = "BS", S$2, S$1), 0))</f>
        <v>6225666</v>
      </c>
      <c r="N3" s="55">
        <f t="shared" ca="1" si="5"/>
        <v>6225666</v>
      </c>
    </row>
    <row r="4" spans="1:20" x14ac:dyDescent="0.2">
      <c r="A4" s="105">
        <v>3</v>
      </c>
      <c r="B4" s="105" t="str">
        <f>VLOOKUP( $A4, Aop!$A$2:$P$453, 2, 0)</f>
        <v>BSa</v>
      </c>
      <c r="C4" s="105">
        <v>25</v>
      </c>
      <c r="D4" s="105" t="str">
        <f t="shared" si="0"/>
        <v>01814788</v>
      </c>
      <c r="E4" s="105" t="str">
        <f t="shared" si="6"/>
        <v>4400570050004</v>
      </c>
      <c r="F4" s="105" t="b">
        <f t="shared" si="1"/>
        <v>1</v>
      </c>
      <c r="G4" s="139">
        <f t="shared" si="2"/>
        <v>45565</v>
      </c>
      <c r="H4" s="105">
        <v>3</v>
      </c>
      <c r="I4" s="105">
        <f t="shared" si="3"/>
        <v>2024</v>
      </c>
      <c r="J4" s="55" t="str">
        <f t="shared" ca="1" si="7"/>
        <v/>
      </c>
      <c r="K4" s="55">
        <f t="shared" ca="1" si="8"/>
        <v>42799</v>
      </c>
      <c r="L4" s="55">
        <f t="shared" ca="1" si="4"/>
        <v>23910</v>
      </c>
      <c r="M4" s="55">
        <f t="shared" ref="M4:M67" ca="1" si="9">IF( VLOOKUP( $H4, INDIRECT( "Lookup_" &amp; $B4), IF( LEFT( $B4, 2) = "BS", S$2, S$1), 0) = "", "", VLOOKUP( $H4, INDIRECT( "Lookup_" &amp; $B4), IF( LEFT( $B4, 2) = "BS", S$2, S$1), 0))</f>
        <v>18889</v>
      </c>
      <c r="N4" s="55">
        <f t="shared" ca="1" si="5"/>
        <v>18889</v>
      </c>
    </row>
    <row r="5" spans="1:20" x14ac:dyDescent="0.2">
      <c r="A5" s="105">
        <v>4</v>
      </c>
      <c r="B5" s="105" t="str">
        <f>VLOOKUP( $A5, Aop!$A$2:$P$453, 2, 0)</f>
        <v>BSa</v>
      </c>
      <c r="C5" s="105">
        <v>25</v>
      </c>
      <c r="D5" s="105" t="str">
        <f t="shared" si="0"/>
        <v>01814788</v>
      </c>
      <c r="E5" s="105" t="str">
        <f t="shared" si="6"/>
        <v>4400570050004</v>
      </c>
      <c r="F5" s="105" t="b">
        <f t="shared" si="1"/>
        <v>1</v>
      </c>
      <c r="G5" s="139">
        <f t="shared" si="2"/>
        <v>45565</v>
      </c>
      <c r="H5" s="105">
        <v>4</v>
      </c>
      <c r="I5" s="105">
        <f t="shared" si="3"/>
        <v>2024</v>
      </c>
      <c r="J5" s="55" t="str">
        <f t="shared" ca="1" si="7"/>
        <v/>
      </c>
      <c r="K5" s="55">
        <f t="shared" ca="1" si="8"/>
        <v>7682473</v>
      </c>
      <c r="L5" s="55">
        <f t="shared" ca="1" si="4"/>
        <v>1475696</v>
      </c>
      <c r="M5" s="55">
        <f t="shared" ca="1" si="9"/>
        <v>6206777</v>
      </c>
      <c r="N5" s="55">
        <f t="shared" ca="1" si="5"/>
        <v>6206777</v>
      </c>
    </row>
    <row r="6" spans="1:20" x14ac:dyDescent="0.2">
      <c r="A6" s="105">
        <v>5</v>
      </c>
      <c r="B6" s="105" t="str">
        <f>VLOOKUP( $A6, Aop!$A$2:$P$453, 2, 0)</f>
        <v>BSa</v>
      </c>
      <c r="C6" s="105">
        <v>25</v>
      </c>
      <c r="D6" s="105" t="str">
        <f t="shared" si="0"/>
        <v>01814788</v>
      </c>
      <c r="E6" s="105" t="str">
        <f t="shared" si="6"/>
        <v>4400570050004</v>
      </c>
      <c r="F6" s="105" t="b">
        <f t="shared" si="1"/>
        <v>1</v>
      </c>
      <c r="G6" s="139">
        <f t="shared" si="2"/>
        <v>45565</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1</v>
      </c>
      <c r="G7" s="139">
        <f t="shared" si="2"/>
        <v>45565</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1</v>
      </c>
      <c r="G8" s="139">
        <f t="shared" si="2"/>
        <v>45565</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1</v>
      </c>
      <c r="G9" s="139">
        <f t="shared" si="2"/>
        <v>45565</v>
      </c>
      <c r="H9" s="105">
        <v>8</v>
      </c>
      <c r="I9" s="105">
        <f t="shared" si="3"/>
        <v>2024</v>
      </c>
      <c r="J9" s="55" t="str">
        <f t="shared" ca="1" si="7"/>
        <v/>
      </c>
      <c r="K9" s="55">
        <f t="shared" ca="1" si="8"/>
        <v>339841761</v>
      </c>
      <c r="L9" s="55">
        <f t="shared" ca="1" si="4"/>
        <v>199525964</v>
      </c>
      <c r="M9" s="55">
        <f t="shared" ca="1" si="9"/>
        <v>140315797</v>
      </c>
      <c r="N9" s="55">
        <f t="shared" ca="1" si="5"/>
        <v>140315797</v>
      </c>
    </row>
    <row r="10" spans="1:20" x14ac:dyDescent="0.2">
      <c r="A10" s="105">
        <v>9</v>
      </c>
      <c r="B10" s="105" t="str">
        <f>VLOOKUP( $A10, Aop!$A$2:$P$453, 2, 0)</f>
        <v>BSa</v>
      </c>
      <c r="C10" s="105">
        <v>25</v>
      </c>
      <c r="D10" s="105" t="str">
        <f t="shared" si="0"/>
        <v>01814788</v>
      </c>
      <c r="E10" s="105" t="str">
        <f t="shared" si="6"/>
        <v>4400570050004</v>
      </c>
      <c r="F10" s="105" t="b">
        <f t="shared" si="1"/>
        <v>1</v>
      </c>
      <c r="G10" s="139">
        <f t="shared" si="2"/>
        <v>45565</v>
      </c>
      <c r="H10" s="105">
        <v>9</v>
      </c>
      <c r="I10" s="105">
        <f t="shared" si="3"/>
        <v>2024</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1</v>
      </c>
      <c r="G11" s="139">
        <f t="shared" si="2"/>
        <v>45565</v>
      </c>
      <c r="H11" s="105">
        <v>10</v>
      </c>
      <c r="I11" s="105">
        <f t="shared" si="3"/>
        <v>2024</v>
      </c>
      <c r="J11" s="55" t="str">
        <f t="shared" ca="1" si="7"/>
        <v/>
      </c>
      <c r="K11" s="55">
        <f t="shared" ca="1" si="8"/>
        <v>67174773</v>
      </c>
      <c r="L11" s="55">
        <f t="shared" ca="1" si="4"/>
        <v>19079452</v>
      </c>
      <c r="M11" s="55">
        <f t="shared" ca="1" si="9"/>
        <v>48095321</v>
      </c>
      <c r="N11" s="55">
        <f t="shared" ca="1" si="5"/>
        <v>48095321</v>
      </c>
    </row>
    <row r="12" spans="1:20" x14ac:dyDescent="0.2">
      <c r="A12" s="105">
        <v>11</v>
      </c>
      <c r="B12" s="105" t="str">
        <f>VLOOKUP( $A12, Aop!$A$2:$P$453, 2, 0)</f>
        <v>BSa</v>
      </c>
      <c r="C12" s="105">
        <v>25</v>
      </c>
      <c r="D12" s="105" t="str">
        <f t="shared" si="0"/>
        <v>01814788</v>
      </c>
      <c r="E12" s="105" t="str">
        <f t="shared" si="6"/>
        <v>4400570050004</v>
      </c>
      <c r="F12" s="105" t="b">
        <f t="shared" si="1"/>
        <v>1</v>
      </c>
      <c r="G12" s="139">
        <f t="shared" si="2"/>
        <v>45565</v>
      </c>
      <c r="H12" s="105">
        <v>11</v>
      </c>
      <c r="I12" s="105">
        <f t="shared" si="3"/>
        <v>2024</v>
      </c>
      <c r="J12" s="55" t="str">
        <f t="shared" ca="1" si="7"/>
        <v/>
      </c>
      <c r="K12" s="55">
        <f t="shared" ca="1" si="8"/>
        <v>261955010</v>
      </c>
      <c r="L12" s="55">
        <f t="shared" ca="1" si="4"/>
        <v>180446512</v>
      </c>
      <c r="M12" s="55">
        <f t="shared" ca="1" si="9"/>
        <v>81508498</v>
      </c>
      <c r="N12" s="55">
        <f t="shared" ca="1" si="5"/>
        <v>81508498</v>
      </c>
    </row>
    <row r="13" spans="1:20" x14ac:dyDescent="0.2">
      <c r="A13" s="105">
        <v>12</v>
      </c>
      <c r="B13" s="105" t="str">
        <f>VLOOKUP( $A13, Aop!$A$2:$P$453, 2, 0)</f>
        <v>BSa</v>
      </c>
      <c r="C13" s="105">
        <v>25</v>
      </c>
      <c r="D13" s="105" t="str">
        <f t="shared" si="0"/>
        <v>01814788</v>
      </c>
      <c r="E13" s="105" t="str">
        <f t="shared" si="6"/>
        <v>4400570050004</v>
      </c>
      <c r="F13" s="105" t="b">
        <f t="shared" si="1"/>
        <v>1</v>
      </c>
      <c r="G13" s="139">
        <f t="shared" si="2"/>
        <v>45565</v>
      </c>
      <c r="H13" s="105">
        <v>12</v>
      </c>
      <c r="I13" s="105">
        <f t="shared" si="3"/>
        <v>2024</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1</v>
      </c>
      <c r="G14" s="139">
        <f t="shared" si="2"/>
        <v>45565</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1</v>
      </c>
      <c r="G15" s="139">
        <f t="shared" si="2"/>
        <v>45565</v>
      </c>
      <c r="H15" s="105">
        <v>14</v>
      </c>
      <c r="I15" s="105">
        <f t="shared" si="3"/>
        <v>2024</v>
      </c>
      <c r="J15" s="55" t="str">
        <f t="shared" ca="1" si="7"/>
        <v/>
      </c>
      <c r="K15" s="55">
        <f t="shared" ca="1" si="8"/>
        <v>10369646</v>
      </c>
      <c r="L15" s="55" t="str">
        <f t="shared" ca="1" si="4"/>
        <v/>
      </c>
      <c r="M15" s="55">
        <f t="shared" ca="1" si="9"/>
        <v>10369646</v>
      </c>
      <c r="N15" s="55">
        <f t="shared" ca="1" si="5"/>
        <v>10369646</v>
      </c>
    </row>
    <row r="16" spans="1:20" x14ac:dyDescent="0.2">
      <c r="A16" s="105">
        <v>15</v>
      </c>
      <c r="B16" s="105" t="str">
        <f>VLOOKUP( $A16, Aop!$A$2:$P$453, 2, 0)</f>
        <v>BSa</v>
      </c>
      <c r="C16" s="105">
        <v>25</v>
      </c>
      <c r="D16" s="105" t="str">
        <f t="shared" si="0"/>
        <v>01814788</v>
      </c>
      <c r="E16" s="105" t="str">
        <f t="shared" si="6"/>
        <v>4400570050004</v>
      </c>
      <c r="F16" s="105" t="b">
        <f t="shared" si="1"/>
        <v>1</v>
      </c>
      <c r="G16" s="139">
        <f t="shared" si="2"/>
        <v>45565</v>
      </c>
      <c r="H16" s="105">
        <v>15</v>
      </c>
      <c r="I16" s="105">
        <f t="shared" si="3"/>
        <v>2024</v>
      </c>
      <c r="J16" s="55" t="str">
        <f t="shared" ca="1" si="7"/>
        <v/>
      </c>
      <c r="K16" s="55">
        <f t="shared" ca="1" si="8"/>
        <v>413264</v>
      </c>
      <c r="L16" s="55">
        <f t="shared" ca="1" si="4"/>
        <v>4424</v>
      </c>
      <c r="M16" s="55">
        <f t="shared" ca="1" si="9"/>
        <v>408840</v>
      </c>
      <c r="N16" s="55">
        <f t="shared" ca="1" si="5"/>
        <v>408840</v>
      </c>
    </row>
    <row r="17" spans="1:14" x14ac:dyDescent="0.2">
      <c r="A17" s="105">
        <v>16</v>
      </c>
      <c r="B17" s="105" t="str">
        <f>VLOOKUP( $A17, Aop!$A$2:$P$453, 2, 0)</f>
        <v>BSa</v>
      </c>
      <c r="C17" s="105">
        <v>25</v>
      </c>
      <c r="D17" s="105" t="str">
        <f t="shared" si="0"/>
        <v>01814788</v>
      </c>
      <c r="E17" s="105" t="str">
        <f t="shared" si="6"/>
        <v>4400570050004</v>
      </c>
      <c r="F17" s="105" t="b">
        <f t="shared" si="1"/>
        <v>1</v>
      </c>
      <c r="G17" s="139">
        <f t="shared" si="2"/>
        <v>45565</v>
      </c>
      <c r="H17" s="105">
        <v>16</v>
      </c>
      <c r="I17" s="105">
        <f t="shared" si="3"/>
        <v>2024</v>
      </c>
      <c r="J17" s="55" t="str">
        <f t="shared" ca="1" si="7"/>
        <v/>
      </c>
      <c r="K17" s="55">
        <f t="shared" ca="1" si="8"/>
        <v>0</v>
      </c>
      <c r="L17" s="55">
        <f t="shared" ca="1" si="4"/>
        <v>0</v>
      </c>
      <c r="M17" s="55">
        <f t="shared" ca="1" si="9"/>
        <v>0</v>
      </c>
      <c r="N17" s="55">
        <f t="shared" ca="1" si="5"/>
        <v>0</v>
      </c>
    </row>
    <row r="18" spans="1:14" x14ac:dyDescent="0.2">
      <c r="A18" s="105">
        <v>17</v>
      </c>
      <c r="B18" s="105" t="str">
        <f>VLOOKUP( $A18, Aop!$A$2:$P$453, 2, 0)</f>
        <v>BSa</v>
      </c>
      <c r="C18" s="105">
        <v>25</v>
      </c>
      <c r="D18" s="105" t="str">
        <f t="shared" si="0"/>
        <v>01814788</v>
      </c>
      <c r="E18" s="105" t="str">
        <f t="shared" si="6"/>
        <v>4400570050004</v>
      </c>
      <c r="F18" s="105" t="b">
        <f t="shared" si="1"/>
        <v>1</v>
      </c>
      <c r="G18" s="139">
        <f t="shared" si="2"/>
        <v>45565</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1</v>
      </c>
      <c r="G19" s="139">
        <f t="shared" si="2"/>
        <v>45565</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1</v>
      </c>
      <c r="G20" s="139">
        <f t="shared" si="2"/>
        <v>45565</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1</v>
      </c>
      <c r="G21" s="139">
        <f t="shared" si="2"/>
        <v>45565</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1</v>
      </c>
      <c r="G22" s="139">
        <f t="shared" si="2"/>
        <v>45565</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1</v>
      </c>
      <c r="G23" s="139">
        <f t="shared" si="2"/>
        <v>45565</v>
      </c>
      <c r="H23" s="105">
        <v>22</v>
      </c>
      <c r="I23" s="105">
        <f t="shared" si="3"/>
        <v>2024</v>
      </c>
      <c r="J23" s="55" t="str">
        <f t="shared" ca="1" si="7"/>
        <v/>
      </c>
      <c r="K23" s="55">
        <f t="shared" ca="1" si="8"/>
        <v>946275</v>
      </c>
      <c r="L23" s="55">
        <f t="shared" ca="1" si="4"/>
        <v>899005</v>
      </c>
      <c r="M23" s="55">
        <f t="shared" ca="1" si="9"/>
        <v>47270</v>
      </c>
      <c r="N23" s="55">
        <f t="shared" ca="1" si="5"/>
        <v>47270</v>
      </c>
    </row>
    <row r="24" spans="1:14" x14ac:dyDescent="0.2">
      <c r="A24" s="105">
        <v>23</v>
      </c>
      <c r="B24" s="105" t="str">
        <f>VLOOKUP( $A24, Aop!$A$2:$P$453, 2, 0)</f>
        <v>BSa</v>
      </c>
      <c r="C24" s="105">
        <v>25</v>
      </c>
      <c r="D24" s="105" t="str">
        <f t="shared" si="0"/>
        <v>01814788</v>
      </c>
      <c r="E24" s="105" t="str">
        <f t="shared" si="6"/>
        <v>4400570050004</v>
      </c>
      <c r="F24" s="105" t="b">
        <f t="shared" si="1"/>
        <v>1</v>
      </c>
      <c r="G24" s="139">
        <f t="shared" si="2"/>
        <v>45565</v>
      </c>
      <c r="H24" s="105">
        <v>23</v>
      </c>
      <c r="I24" s="105">
        <f t="shared" si="3"/>
        <v>2024</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01814788</v>
      </c>
      <c r="E25" s="105" t="str">
        <f t="shared" si="6"/>
        <v>4400570050004</v>
      </c>
      <c r="F25" s="105" t="b">
        <f t="shared" si="1"/>
        <v>1</v>
      </c>
      <c r="G25" s="139">
        <f t="shared" si="2"/>
        <v>45565</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1</v>
      </c>
      <c r="G26" s="139">
        <f t="shared" si="2"/>
        <v>45565</v>
      </c>
      <c r="H26" s="105">
        <v>25</v>
      </c>
      <c r="I26" s="105">
        <f t="shared" si="3"/>
        <v>2024</v>
      </c>
      <c r="J26" s="55" t="str">
        <f t="shared" ca="1" si="7"/>
        <v/>
      </c>
      <c r="K26" s="55">
        <f t="shared" ca="1" si="8"/>
        <v>899005</v>
      </c>
      <c r="L26" s="55">
        <f t="shared" ca="1" si="4"/>
        <v>899005</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1</v>
      </c>
      <c r="G27" s="139">
        <f t="shared" si="2"/>
        <v>45565</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1</v>
      </c>
      <c r="G28" s="139">
        <f t="shared" si="2"/>
        <v>45565</v>
      </c>
      <c r="H28" s="105">
        <v>27</v>
      </c>
      <c r="I28" s="105">
        <f t="shared" si="3"/>
        <v>2024</v>
      </c>
      <c r="J28" s="55" t="str">
        <f t="shared" ca="1" si="7"/>
        <v/>
      </c>
      <c r="K28" s="55">
        <f t="shared" ca="1" si="8"/>
        <v>899005</v>
      </c>
      <c r="L28" s="55">
        <f t="shared" ca="1" si="4"/>
        <v>899005</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1</v>
      </c>
      <c r="G29" s="139">
        <f t="shared" si="2"/>
        <v>45565</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1</v>
      </c>
      <c r="G30" s="139">
        <f t="shared" si="2"/>
        <v>45565</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1</v>
      </c>
      <c r="G31" s="139">
        <f t="shared" si="2"/>
        <v>45565</v>
      </c>
      <c r="H31" s="105">
        <v>30</v>
      </c>
      <c r="I31" s="105">
        <f t="shared" si="3"/>
        <v>2024</v>
      </c>
      <c r="J31" s="55" t="str">
        <f t="shared" ca="1" si="7"/>
        <v/>
      </c>
      <c r="K31" s="55">
        <f t="shared" ca="1" si="8"/>
        <v>47270</v>
      </c>
      <c r="L31" s="55">
        <f t="shared" ca="1" si="4"/>
        <v>0</v>
      </c>
      <c r="M31" s="55">
        <f t="shared" ca="1" si="9"/>
        <v>47270</v>
      </c>
      <c r="N31" s="55">
        <f t="shared" ca="1" si="5"/>
        <v>47270</v>
      </c>
    </row>
    <row r="32" spans="1:14" x14ac:dyDescent="0.2">
      <c r="A32" s="105">
        <v>31</v>
      </c>
      <c r="B32" s="105" t="str">
        <f>VLOOKUP( $A32, Aop!$A$2:$P$453, 2, 0)</f>
        <v>BSa</v>
      </c>
      <c r="C32" s="105">
        <v>25</v>
      </c>
      <c r="D32" s="105" t="str">
        <f t="shared" si="0"/>
        <v>01814788</v>
      </c>
      <c r="E32" s="105" t="str">
        <f t="shared" si="6"/>
        <v>4400570050004</v>
      </c>
      <c r="F32" s="105" t="b">
        <f t="shared" si="1"/>
        <v>1</v>
      </c>
      <c r="G32" s="139">
        <f t="shared" si="2"/>
        <v>45565</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1</v>
      </c>
      <c r="G33" s="139">
        <f t="shared" si="2"/>
        <v>45565</v>
      </c>
      <c r="H33" s="105">
        <v>32</v>
      </c>
      <c r="I33" s="105">
        <f t="shared" si="3"/>
        <v>2024</v>
      </c>
      <c r="J33" s="55" t="str">
        <f t="shared" ca="1" si="7"/>
        <v/>
      </c>
      <c r="K33" s="55">
        <f t="shared" ca="1" si="8"/>
        <v>47270</v>
      </c>
      <c r="L33" s="55" t="str">
        <f t="shared" ca="1" si="4"/>
        <v/>
      </c>
      <c r="M33" s="55">
        <f t="shared" ca="1" si="9"/>
        <v>47270</v>
      </c>
      <c r="N33" s="55">
        <f t="shared" ca="1" si="5"/>
        <v>47270</v>
      </c>
    </row>
    <row r="34" spans="1:14" x14ac:dyDescent="0.2">
      <c r="A34" s="105">
        <v>33</v>
      </c>
      <c r="B34" s="105" t="str">
        <f>VLOOKUP( $A34, Aop!$A$2:$P$453, 2, 0)</f>
        <v>BSa</v>
      </c>
      <c r="C34" s="105">
        <v>25</v>
      </c>
      <c r="D34" s="105" t="str">
        <f t="shared" si="0"/>
        <v>01814788</v>
      </c>
      <c r="E34" s="105" t="str">
        <f t="shared" si="6"/>
        <v>4400570050004</v>
      </c>
      <c r="F34" s="105" t="b">
        <f t="shared" si="1"/>
        <v>1</v>
      </c>
      <c r="G34" s="139">
        <f t="shared" si="2"/>
        <v>45565</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1</v>
      </c>
      <c r="G35" s="139">
        <f t="shared" si="2"/>
        <v>45565</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1</v>
      </c>
      <c r="G36" s="139">
        <f t="shared" si="2"/>
        <v>45565</v>
      </c>
      <c r="H36" s="105">
        <v>35</v>
      </c>
      <c r="I36" s="105">
        <f t="shared" si="3"/>
        <v>2024</v>
      </c>
      <c r="J36" s="55" t="str">
        <f t="shared" ca="1" si="7"/>
        <v/>
      </c>
      <c r="K36" s="55">
        <f t="shared" ca="1" si="8"/>
        <v>120285</v>
      </c>
      <c r="L36" s="55" t="str">
        <f t="shared" ca="1" si="4"/>
        <v/>
      </c>
      <c r="M36" s="55">
        <f t="shared" ca="1" si="9"/>
        <v>120285</v>
      </c>
      <c r="N36" s="55">
        <f t="shared" ca="1" si="5"/>
        <v>120285</v>
      </c>
    </row>
    <row r="37" spans="1:14" x14ac:dyDescent="0.2">
      <c r="A37" s="105">
        <v>36</v>
      </c>
      <c r="B37" s="105" t="str">
        <f>VLOOKUP( $A37, Aop!$A$2:$P$453, 2, 0)</f>
        <v>BSa</v>
      </c>
      <c r="C37" s="105">
        <v>25</v>
      </c>
      <c r="D37" s="105" t="str">
        <f t="shared" si="0"/>
        <v>01814788</v>
      </c>
      <c r="E37" s="105" t="str">
        <f t="shared" si="6"/>
        <v>4400570050004</v>
      </c>
      <c r="F37" s="105" t="b">
        <f t="shared" si="1"/>
        <v>1</v>
      </c>
      <c r="G37" s="139">
        <f t="shared" si="2"/>
        <v>45565</v>
      </c>
      <c r="H37" s="105">
        <v>36</v>
      </c>
      <c r="I37" s="105">
        <f t="shared" si="3"/>
        <v>2024</v>
      </c>
      <c r="J37" s="55" t="str">
        <f t="shared" ca="1" si="7"/>
        <v/>
      </c>
      <c r="K37" s="55">
        <f t="shared" ca="1" si="8"/>
        <v>61515872</v>
      </c>
      <c r="L37" s="55">
        <f t="shared" ca="1" si="4"/>
        <v>49668978</v>
      </c>
      <c r="M37" s="55">
        <f t="shared" ca="1" si="9"/>
        <v>11846894</v>
      </c>
      <c r="N37" s="55">
        <f t="shared" ca="1" si="5"/>
        <v>11846894</v>
      </c>
    </row>
    <row r="38" spans="1:14" x14ac:dyDescent="0.2">
      <c r="A38" s="105">
        <v>37</v>
      </c>
      <c r="B38" s="105" t="str">
        <f>VLOOKUP( $A38, Aop!$A$2:$P$453, 2, 0)</f>
        <v>BSa</v>
      </c>
      <c r="C38" s="105">
        <v>25</v>
      </c>
      <c r="D38" s="105" t="str">
        <f t="shared" si="0"/>
        <v>01814788</v>
      </c>
      <c r="E38" s="105" t="str">
        <f t="shared" si="6"/>
        <v>4400570050004</v>
      </c>
      <c r="F38" s="105" t="b">
        <f t="shared" si="1"/>
        <v>1</v>
      </c>
      <c r="G38" s="139">
        <f t="shared" si="2"/>
        <v>45565</v>
      </c>
      <c r="H38" s="105">
        <v>37</v>
      </c>
      <c r="I38" s="105">
        <f t="shared" si="3"/>
        <v>2024</v>
      </c>
      <c r="J38" s="55" t="str">
        <f t="shared" ca="1" si="7"/>
        <v/>
      </c>
      <c r="K38" s="55">
        <f t="shared" ca="1" si="8"/>
        <v>5164846</v>
      </c>
      <c r="L38" s="55">
        <f t="shared" ca="1" si="4"/>
        <v>1316186</v>
      </c>
      <c r="M38" s="55">
        <f t="shared" ca="1" si="9"/>
        <v>3848660</v>
      </c>
      <c r="N38" s="55">
        <f t="shared" ca="1" si="5"/>
        <v>3848660</v>
      </c>
    </row>
    <row r="39" spans="1:14" x14ac:dyDescent="0.2">
      <c r="A39" s="105">
        <v>38</v>
      </c>
      <c r="B39" s="105" t="str">
        <f>VLOOKUP( $A39, Aop!$A$2:$P$453, 2, 0)</f>
        <v>BSa</v>
      </c>
      <c r="C39" s="105">
        <v>25</v>
      </c>
      <c r="D39" s="105" t="str">
        <f t="shared" si="0"/>
        <v>01814788</v>
      </c>
      <c r="E39" s="105" t="str">
        <f t="shared" si="6"/>
        <v>4400570050004</v>
      </c>
      <c r="F39" s="105" t="b">
        <f t="shared" si="1"/>
        <v>1</v>
      </c>
      <c r="G39" s="139">
        <f t="shared" si="2"/>
        <v>45565</v>
      </c>
      <c r="H39" s="105">
        <v>38</v>
      </c>
      <c r="I39" s="105">
        <f t="shared" si="3"/>
        <v>2024</v>
      </c>
      <c r="J39" s="55" t="str">
        <f t="shared" ca="1" si="7"/>
        <v/>
      </c>
      <c r="K39" s="55">
        <f t="shared" ca="1" si="8"/>
        <v>5070204</v>
      </c>
      <c r="L39" s="55">
        <f t="shared" ca="1" si="4"/>
        <v>1239859</v>
      </c>
      <c r="M39" s="55">
        <f t="shared" ca="1" si="9"/>
        <v>3830345</v>
      </c>
      <c r="N39" s="55">
        <f t="shared" ca="1" si="5"/>
        <v>3830345</v>
      </c>
    </row>
    <row r="40" spans="1:14" x14ac:dyDescent="0.2">
      <c r="A40" s="105">
        <v>39</v>
      </c>
      <c r="B40" s="105" t="str">
        <f>VLOOKUP( $A40, Aop!$A$2:$P$453, 2, 0)</f>
        <v>BSa</v>
      </c>
      <c r="C40" s="105">
        <v>25</v>
      </c>
      <c r="D40" s="105" t="str">
        <f t="shared" si="0"/>
        <v>01814788</v>
      </c>
      <c r="E40" s="105" t="str">
        <f t="shared" si="6"/>
        <v>4400570050004</v>
      </c>
      <c r="F40" s="105" t="b">
        <f t="shared" si="1"/>
        <v>1</v>
      </c>
      <c r="G40" s="139">
        <f t="shared" si="2"/>
        <v>45565</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1</v>
      </c>
      <c r="G41" s="139">
        <f t="shared" si="2"/>
        <v>45565</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1</v>
      </c>
      <c r="G42" s="139">
        <f t="shared" si="2"/>
        <v>45565</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1</v>
      </c>
      <c r="G43" s="139">
        <f t="shared" si="2"/>
        <v>45565</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1</v>
      </c>
      <c r="G44" s="139">
        <f t="shared" si="2"/>
        <v>45565</v>
      </c>
      <c r="H44" s="105">
        <v>43</v>
      </c>
      <c r="I44" s="105">
        <f t="shared" si="3"/>
        <v>2024</v>
      </c>
      <c r="J44" s="55" t="str">
        <f t="shared" ca="1" si="7"/>
        <v/>
      </c>
      <c r="K44" s="55">
        <f t="shared" ca="1" si="8"/>
        <v>94642</v>
      </c>
      <c r="L44" s="55">
        <f t="shared" ca="1" si="4"/>
        <v>76327</v>
      </c>
      <c r="M44" s="55">
        <f t="shared" ca="1" si="9"/>
        <v>18315</v>
      </c>
      <c r="N44" s="55">
        <f t="shared" ca="1" si="5"/>
        <v>18315</v>
      </c>
    </row>
    <row r="45" spans="1:14" x14ac:dyDescent="0.2">
      <c r="A45" s="105">
        <v>44</v>
      </c>
      <c r="B45" s="105" t="str">
        <f>VLOOKUP( $A45, Aop!$A$2:$P$453, 2, 0)</f>
        <v>BSa</v>
      </c>
      <c r="C45" s="105">
        <v>25</v>
      </c>
      <c r="D45" s="105" t="str">
        <f t="shared" si="0"/>
        <v>01814788</v>
      </c>
      <c r="E45" s="105" t="str">
        <f t="shared" si="6"/>
        <v>4400570050004</v>
      </c>
      <c r="F45" s="105" t="b">
        <f t="shared" si="1"/>
        <v>1</v>
      </c>
      <c r="G45" s="139">
        <f t="shared" si="2"/>
        <v>45565</v>
      </c>
      <c r="H45" s="105">
        <v>44</v>
      </c>
      <c r="I45" s="105">
        <f t="shared" si="3"/>
        <v>2024</v>
      </c>
      <c r="J45" s="55" t="str">
        <f t="shared" ca="1" si="7"/>
        <v/>
      </c>
      <c r="K45" s="55">
        <f t="shared" ca="1" si="8"/>
        <v>56351026</v>
      </c>
      <c r="L45" s="55">
        <f t="shared" ca="1" si="4"/>
        <v>48352792</v>
      </c>
      <c r="M45" s="55">
        <f t="shared" ca="1" si="9"/>
        <v>7998234</v>
      </c>
      <c r="N45" s="55">
        <f t="shared" ca="1" si="5"/>
        <v>7998234</v>
      </c>
    </row>
    <row r="46" spans="1:14" x14ac:dyDescent="0.2">
      <c r="A46" s="105">
        <v>45</v>
      </c>
      <c r="B46" s="105" t="str">
        <f>VLOOKUP( $A46, Aop!$A$2:$P$453, 2, 0)</f>
        <v>BSa</v>
      </c>
      <c r="C46" s="105">
        <v>25</v>
      </c>
      <c r="D46" s="105" t="str">
        <f t="shared" si="0"/>
        <v>01814788</v>
      </c>
      <c r="E46" s="105" t="str">
        <f t="shared" si="6"/>
        <v>4400570050004</v>
      </c>
      <c r="F46" s="105" t="b">
        <f t="shared" si="1"/>
        <v>1</v>
      </c>
      <c r="G46" s="139">
        <f t="shared" si="2"/>
        <v>45565</v>
      </c>
      <c r="H46" s="105">
        <v>45</v>
      </c>
      <c r="I46" s="105">
        <f t="shared" si="3"/>
        <v>2024</v>
      </c>
      <c r="J46" s="55" t="str">
        <f t="shared" ca="1" si="7"/>
        <v/>
      </c>
      <c r="K46" s="55">
        <f t="shared" ca="1" si="8"/>
        <v>52879443</v>
      </c>
      <c r="L46" s="55">
        <f t="shared" ca="1" si="4"/>
        <v>48103812</v>
      </c>
      <c r="M46" s="55">
        <f t="shared" ca="1" si="9"/>
        <v>4775631</v>
      </c>
      <c r="N46" s="55">
        <f t="shared" ca="1" si="5"/>
        <v>4775631</v>
      </c>
    </row>
    <row r="47" spans="1:14" x14ac:dyDescent="0.2">
      <c r="A47" s="105">
        <v>46</v>
      </c>
      <c r="B47" s="105" t="str">
        <f>VLOOKUP( $A47, Aop!$A$2:$P$453, 2, 0)</f>
        <v>BSa</v>
      </c>
      <c r="C47" s="105">
        <v>25</v>
      </c>
      <c r="D47" s="105" t="str">
        <f t="shared" si="0"/>
        <v>01814788</v>
      </c>
      <c r="E47" s="105" t="str">
        <f t="shared" si="6"/>
        <v>4400570050004</v>
      </c>
      <c r="F47" s="105" t="b">
        <f t="shared" si="1"/>
        <v>1</v>
      </c>
      <c r="G47" s="139">
        <f t="shared" si="2"/>
        <v>45565</v>
      </c>
      <c r="H47" s="105">
        <v>46</v>
      </c>
      <c r="I47" s="105">
        <f t="shared" si="3"/>
        <v>2024</v>
      </c>
      <c r="J47" s="55" t="str">
        <f t="shared" ca="1" si="7"/>
        <v/>
      </c>
      <c r="K47" s="55">
        <f t="shared" ca="1" si="8"/>
        <v>4658942</v>
      </c>
      <c r="L47" s="55">
        <f t="shared" ca="1" si="4"/>
        <v>50513</v>
      </c>
      <c r="M47" s="55">
        <f t="shared" ca="1" si="9"/>
        <v>4608429</v>
      </c>
      <c r="N47" s="55">
        <f t="shared" ca="1" si="5"/>
        <v>4608429</v>
      </c>
    </row>
    <row r="48" spans="1:14" x14ac:dyDescent="0.2">
      <c r="A48" s="105">
        <v>47</v>
      </c>
      <c r="B48" s="105" t="str">
        <f>VLOOKUP( $A48, Aop!$A$2:$P$453, 2, 0)</f>
        <v>BSa</v>
      </c>
      <c r="C48" s="105">
        <v>25</v>
      </c>
      <c r="D48" s="105" t="str">
        <f t="shared" si="0"/>
        <v>01814788</v>
      </c>
      <c r="E48" s="105" t="str">
        <f t="shared" si="6"/>
        <v>4400570050004</v>
      </c>
      <c r="F48" s="105" t="b">
        <f t="shared" si="1"/>
        <v>1</v>
      </c>
      <c r="G48" s="139">
        <f t="shared" si="2"/>
        <v>45565</v>
      </c>
      <c r="H48" s="105">
        <v>47</v>
      </c>
      <c r="I48" s="105">
        <f t="shared" si="3"/>
        <v>2024</v>
      </c>
      <c r="J48" s="55" t="str">
        <f t="shared" ca="1" si="7"/>
        <v/>
      </c>
      <c r="K48" s="55">
        <f t="shared" ca="1" si="8"/>
        <v>40087729</v>
      </c>
      <c r="L48" s="55">
        <f t="shared" ca="1" si="4"/>
        <v>39953156</v>
      </c>
      <c r="M48" s="55">
        <f t="shared" ca="1" si="9"/>
        <v>134573</v>
      </c>
      <c r="N48" s="55">
        <f t="shared" ca="1" si="5"/>
        <v>134573</v>
      </c>
    </row>
    <row r="49" spans="1:14" x14ac:dyDescent="0.2">
      <c r="A49" s="105">
        <v>48</v>
      </c>
      <c r="B49" s="105" t="str">
        <f>VLOOKUP( $A49, Aop!$A$2:$P$453, 2, 0)</f>
        <v>BSa</v>
      </c>
      <c r="C49" s="105">
        <v>25</v>
      </c>
      <c r="D49" s="105" t="str">
        <f t="shared" si="0"/>
        <v>01814788</v>
      </c>
      <c r="E49" s="105" t="str">
        <f t="shared" si="6"/>
        <v>4400570050004</v>
      </c>
      <c r="F49" s="105" t="b">
        <f t="shared" si="1"/>
        <v>1</v>
      </c>
      <c r="G49" s="139">
        <f t="shared" si="2"/>
        <v>45565</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1</v>
      </c>
      <c r="G50" s="139">
        <f t="shared" si="2"/>
        <v>45565</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1</v>
      </c>
      <c r="G51" s="139">
        <f t="shared" si="2"/>
        <v>45565</v>
      </c>
      <c r="H51" s="105">
        <v>50</v>
      </c>
      <c r="I51" s="105">
        <f t="shared" si="3"/>
        <v>2024</v>
      </c>
      <c r="J51" s="55" t="str">
        <f t="shared" ca="1" si="7"/>
        <v/>
      </c>
      <c r="K51" s="55">
        <f t="shared" ca="1" si="8"/>
        <v>8116772</v>
      </c>
      <c r="L51" s="55">
        <f t="shared" ca="1" si="4"/>
        <v>8100143</v>
      </c>
      <c r="M51" s="55">
        <f t="shared" ca="1" si="9"/>
        <v>16629</v>
      </c>
      <c r="N51" s="55">
        <f t="shared" ca="1" si="5"/>
        <v>16629</v>
      </c>
    </row>
    <row r="52" spans="1:14" x14ac:dyDescent="0.2">
      <c r="A52" s="105">
        <v>51</v>
      </c>
      <c r="B52" s="105" t="str">
        <f>VLOOKUP( $A52, Aop!$A$2:$P$453, 2, 0)</f>
        <v>BSa</v>
      </c>
      <c r="C52" s="105">
        <v>25</v>
      </c>
      <c r="D52" s="105" t="str">
        <f t="shared" si="0"/>
        <v>01814788</v>
      </c>
      <c r="E52" s="105" t="str">
        <f t="shared" si="6"/>
        <v>4400570050004</v>
      </c>
      <c r="F52" s="105" t="b">
        <f t="shared" si="1"/>
        <v>1</v>
      </c>
      <c r="G52" s="139">
        <f t="shared" si="2"/>
        <v>45565</v>
      </c>
      <c r="H52" s="105">
        <v>51</v>
      </c>
      <c r="I52" s="105">
        <f t="shared" si="3"/>
        <v>2024</v>
      </c>
      <c r="J52" s="55" t="str">
        <f t="shared" ca="1" si="7"/>
        <v/>
      </c>
      <c r="K52" s="55">
        <f t="shared" ca="1" si="8"/>
        <v>16000</v>
      </c>
      <c r="L52" s="55" t="str">
        <f t="shared" ca="1" si="4"/>
        <v/>
      </c>
      <c r="M52" s="55">
        <f t="shared" ca="1" si="9"/>
        <v>16000</v>
      </c>
      <c r="N52" s="55">
        <f t="shared" ca="1" si="5"/>
        <v>16000</v>
      </c>
    </row>
    <row r="53" spans="1:14" x14ac:dyDescent="0.2">
      <c r="A53" s="105">
        <v>52</v>
      </c>
      <c r="B53" s="105" t="str">
        <f>VLOOKUP( $A53, Aop!$A$2:$P$453, 2, 0)</f>
        <v>BSa</v>
      </c>
      <c r="C53" s="105">
        <v>25</v>
      </c>
      <c r="D53" s="105" t="str">
        <f t="shared" si="0"/>
        <v>01814788</v>
      </c>
      <c r="E53" s="105" t="str">
        <f t="shared" si="6"/>
        <v>4400570050004</v>
      </c>
      <c r="F53" s="105" t="b">
        <f t="shared" si="1"/>
        <v>1</v>
      </c>
      <c r="G53" s="139">
        <f t="shared" si="2"/>
        <v>45565</v>
      </c>
      <c r="H53" s="105">
        <v>52</v>
      </c>
      <c r="I53" s="105">
        <f t="shared" si="3"/>
        <v>2024</v>
      </c>
      <c r="J53" s="55" t="str">
        <f t="shared" ca="1" si="7"/>
        <v/>
      </c>
      <c r="K53" s="55">
        <f t="shared" ca="1" si="8"/>
        <v>258113</v>
      </c>
      <c r="L53" s="55">
        <f t="shared" ca="1" si="4"/>
        <v>248980</v>
      </c>
      <c r="M53" s="55">
        <f t="shared" ca="1" si="9"/>
        <v>9133</v>
      </c>
      <c r="N53" s="55">
        <f t="shared" ca="1" si="5"/>
        <v>9133</v>
      </c>
    </row>
    <row r="54" spans="1:14" x14ac:dyDescent="0.2">
      <c r="A54" s="105">
        <v>53</v>
      </c>
      <c r="B54" s="105" t="str">
        <f>VLOOKUP( $A54, Aop!$A$2:$P$453, 2, 0)</f>
        <v>BSa</v>
      </c>
      <c r="C54" s="105">
        <v>25</v>
      </c>
      <c r="D54" s="105" t="str">
        <f t="shared" si="0"/>
        <v>01814788</v>
      </c>
      <c r="E54" s="105" t="str">
        <f t="shared" si="6"/>
        <v>4400570050004</v>
      </c>
      <c r="F54" s="105" t="b">
        <f t="shared" si="1"/>
        <v>1</v>
      </c>
      <c r="G54" s="139">
        <f t="shared" si="2"/>
        <v>45565</v>
      </c>
      <c r="H54" s="105">
        <v>53</v>
      </c>
      <c r="I54" s="105">
        <f t="shared" si="3"/>
        <v>2024</v>
      </c>
      <c r="J54" s="55" t="str">
        <f t="shared" ca="1" si="7"/>
        <v/>
      </c>
      <c r="K54" s="55">
        <f t="shared" ca="1" si="8"/>
        <v>258113</v>
      </c>
      <c r="L54" s="55">
        <f t="shared" ca="1" si="4"/>
        <v>248980</v>
      </c>
      <c r="M54" s="55">
        <f t="shared" ca="1" si="9"/>
        <v>9133</v>
      </c>
      <c r="N54" s="55">
        <f t="shared" ca="1" si="5"/>
        <v>9133</v>
      </c>
    </row>
    <row r="55" spans="1:14" x14ac:dyDescent="0.2">
      <c r="A55" s="105">
        <v>54</v>
      </c>
      <c r="B55" s="105" t="str">
        <f>VLOOKUP( $A55, Aop!$A$2:$P$453, 2, 0)</f>
        <v>BSa</v>
      </c>
      <c r="C55" s="105">
        <v>25</v>
      </c>
      <c r="D55" s="105" t="str">
        <f t="shared" si="0"/>
        <v>01814788</v>
      </c>
      <c r="E55" s="105" t="str">
        <f t="shared" si="6"/>
        <v>4400570050004</v>
      </c>
      <c r="F55" s="105" t="b">
        <f t="shared" si="1"/>
        <v>1</v>
      </c>
      <c r="G55" s="139">
        <f t="shared" si="2"/>
        <v>45565</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1</v>
      </c>
      <c r="G56" s="139">
        <f t="shared" si="2"/>
        <v>45565</v>
      </c>
      <c r="H56" s="105">
        <v>55</v>
      </c>
      <c r="I56" s="105">
        <f t="shared" si="3"/>
        <v>2024</v>
      </c>
      <c r="J56" s="55" t="str">
        <f t="shared" ca="1" si="7"/>
        <v/>
      </c>
      <c r="K56" s="55">
        <f t="shared" ca="1" si="8"/>
        <v>258113</v>
      </c>
      <c r="L56" s="55">
        <f t="shared" ca="1" si="4"/>
        <v>248980</v>
      </c>
      <c r="M56" s="55">
        <f t="shared" ca="1" si="9"/>
        <v>9133</v>
      </c>
      <c r="N56" s="55">
        <f t="shared" ca="1" si="5"/>
        <v>9133</v>
      </c>
    </row>
    <row r="57" spans="1:14" x14ac:dyDescent="0.2">
      <c r="A57" s="105">
        <v>56</v>
      </c>
      <c r="B57" s="105" t="str">
        <f>VLOOKUP( $A57, Aop!$A$2:$P$453, 2, 0)</f>
        <v>BSa</v>
      </c>
      <c r="C57" s="105">
        <v>25</v>
      </c>
      <c r="D57" s="105" t="str">
        <f t="shared" si="0"/>
        <v>01814788</v>
      </c>
      <c r="E57" s="105" t="str">
        <f t="shared" si="6"/>
        <v>4400570050004</v>
      </c>
      <c r="F57" s="105" t="b">
        <f t="shared" si="1"/>
        <v>1</v>
      </c>
      <c r="G57" s="139">
        <f t="shared" si="2"/>
        <v>45565</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1</v>
      </c>
      <c r="G58" s="139">
        <f t="shared" si="2"/>
        <v>45565</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1</v>
      </c>
      <c r="G59" s="139">
        <f t="shared" si="2"/>
        <v>45565</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1</v>
      </c>
      <c r="G60" s="139">
        <f t="shared" si="2"/>
        <v>45565</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1</v>
      </c>
      <c r="G61" s="139">
        <f t="shared" si="2"/>
        <v>45565</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1</v>
      </c>
      <c r="G62" s="139">
        <f t="shared" si="2"/>
        <v>45565</v>
      </c>
      <c r="H62" s="105">
        <v>61</v>
      </c>
      <c r="I62" s="105">
        <f t="shared" si="3"/>
        <v>2024</v>
      </c>
      <c r="J62" s="55" t="str">
        <f t="shared" ca="1" si="7"/>
        <v/>
      </c>
      <c r="K62" s="55">
        <f t="shared" ca="1" si="8"/>
        <v>2814195</v>
      </c>
      <c r="L62" s="55">
        <f t="shared" ca="1" si="4"/>
        <v>0</v>
      </c>
      <c r="M62" s="55">
        <f t="shared" ca="1" si="9"/>
        <v>2814195</v>
      </c>
      <c r="N62" s="55">
        <f t="shared" ca="1" si="5"/>
        <v>2814195</v>
      </c>
    </row>
    <row r="63" spans="1:14" x14ac:dyDescent="0.2">
      <c r="A63" s="105">
        <v>62</v>
      </c>
      <c r="B63" s="105" t="str">
        <f>VLOOKUP( $A63, Aop!$A$2:$P$453, 2, 0)</f>
        <v>BSa</v>
      </c>
      <c r="C63" s="105">
        <v>25</v>
      </c>
      <c r="D63" s="105" t="str">
        <f t="shared" si="0"/>
        <v>01814788</v>
      </c>
      <c r="E63" s="105" t="str">
        <f t="shared" si="6"/>
        <v>4400570050004</v>
      </c>
      <c r="F63" s="105" t="b">
        <f t="shared" si="1"/>
        <v>1</v>
      </c>
      <c r="G63" s="139">
        <f t="shared" si="2"/>
        <v>45565</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1</v>
      </c>
      <c r="G64" s="139">
        <f t="shared" si="2"/>
        <v>45565</v>
      </c>
      <c r="H64" s="105">
        <v>63</v>
      </c>
      <c r="I64" s="105">
        <f t="shared" si="3"/>
        <v>2024</v>
      </c>
      <c r="J64" s="55" t="str">
        <f t="shared" ca="1" si="7"/>
        <v/>
      </c>
      <c r="K64" s="55">
        <f t="shared" ca="1" si="8"/>
        <v>2814195</v>
      </c>
      <c r="L64" s="55" t="str">
        <f t="shared" ca="1" si="4"/>
        <v/>
      </c>
      <c r="M64" s="55">
        <f t="shared" ca="1" si="9"/>
        <v>2814195</v>
      </c>
      <c r="N64" s="55">
        <f t="shared" ca="1" si="5"/>
        <v>2814195</v>
      </c>
    </row>
    <row r="65" spans="1:14" x14ac:dyDescent="0.2">
      <c r="A65" s="105">
        <v>64</v>
      </c>
      <c r="B65" s="105" t="str">
        <f>VLOOKUP( $A65, Aop!$A$2:$P$453, 2, 0)</f>
        <v>BSa</v>
      </c>
      <c r="C65" s="105">
        <v>25</v>
      </c>
      <c r="D65" s="105" t="str">
        <f t="shared" si="0"/>
        <v>01814788</v>
      </c>
      <c r="E65" s="105" t="str">
        <f t="shared" si="6"/>
        <v>4400570050004</v>
      </c>
      <c r="F65" s="105" t="b">
        <f t="shared" si="1"/>
        <v>1</v>
      </c>
      <c r="G65" s="139">
        <f t="shared" si="2"/>
        <v>45565</v>
      </c>
      <c r="H65" s="105">
        <v>64</v>
      </c>
      <c r="I65" s="105">
        <f t="shared" si="3"/>
        <v>2024</v>
      </c>
      <c r="J65" s="55" t="str">
        <f t="shared" ca="1" si="7"/>
        <v/>
      </c>
      <c r="K65" s="55">
        <f t="shared" ca="1" si="8"/>
        <v>70</v>
      </c>
      <c r="L65" s="55" t="str">
        <f t="shared" ca="1" si="4"/>
        <v/>
      </c>
      <c r="M65" s="55">
        <f t="shared" ca="1" si="9"/>
        <v>70</v>
      </c>
      <c r="N65" s="55">
        <f t="shared" ca="1" si="5"/>
        <v>70</v>
      </c>
    </row>
    <row r="66" spans="1:14" x14ac:dyDescent="0.2">
      <c r="A66" s="105">
        <v>65</v>
      </c>
      <c r="B66" s="55" t="str">
        <f>VLOOKUP( $A66, Aop!$A$2:$P$453, 2, 0)</f>
        <v>BSa</v>
      </c>
      <c r="C66" s="105">
        <v>25</v>
      </c>
      <c r="D66" s="55" t="str">
        <f>Podatak_MB</f>
        <v>01814788</v>
      </c>
      <c r="E66" s="55" t="str">
        <f>Podatak_JIB</f>
        <v>4400570050004</v>
      </c>
      <c r="F66" s="55" t="b">
        <f>Konsolidovan_izvjestaj</f>
        <v>1</v>
      </c>
      <c r="G66" s="139">
        <f>Datum_Broj</f>
        <v>45565</v>
      </c>
      <c r="H66" s="105">
        <v>65</v>
      </c>
      <c r="I66" s="55">
        <f>Godina</f>
        <v>2024</v>
      </c>
      <c r="J66" s="55" t="str">
        <f t="shared" ca="1" si="7"/>
        <v/>
      </c>
      <c r="K66" s="55">
        <f t="shared" ca="1" si="8"/>
        <v>399205</v>
      </c>
      <c r="L66" s="55" t="str">
        <f t="shared" ref="L66:L131" ca="1" si="10">IF( VLOOKUP( $H66, INDIRECT( "Lookup_" &amp; $B66), IF( LEFT( $B66, 2) = "BS", R$2, R$1), 0) = "", "", VLOOKUP( $H66, INDIRECT( "Lookup_" &amp; $B66), IF( $B66 = "BSa", R$2, R$1), 0))</f>
        <v/>
      </c>
      <c r="M66" s="55">
        <f t="shared" ca="1" si="9"/>
        <v>399205</v>
      </c>
      <c r="N66" s="55">
        <f t="shared" ref="N66:N129" ca="1" si="11">IF( VLOOKUP( $H66, INDIRECT( "Lookup_" &amp; $B66), IF( LEFT( $B66, 2) = "BS", S$2, S$1), 0) = "", "", VLOOKUP( $H66, INDIRECT( "Lookup_" &amp; $B66), IF( LEFT( $B66, 2) = "BS", S$2, S$1), 0))</f>
        <v>399205</v>
      </c>
    </row>
    <row r="67" spans="1:14" x14ac:dyDescent="0.2">
      <c r="A67" s="105">
        <v>66</v>
      </c>
      <c r="B67" s="55" t="str">
        <f>VLOOKUP( $A67, Aop!$A$2:$P$453, 2, 0)</f>
        <v>BSa</v>
      </c>
      <c r="C67" s="105">
        <v>25</v>
      </c>
      <c r="D67" s="55" t="str">
        <f>Podatak_MB</f>
        <v>01814788</v>
      </c>
      <c r="E67" s="55" t="str">
        <f>Podatak_JIB</f>
        <v>4400570050004</v>
      </c>
      <c r="F67" s="55" t="b">
        <f>Konsolidovan_izvjestaj</f>
        <v>1</v>
      </c>
      <c r="G67" s="139">
        <f>Datum_Broj</f>
        <v>45565</v>
      </c>
      <c r="H67" s="105">
        <v>66</v>
      </c>
      <c r="I67" s="55">
        <f>Godina</f>
        <v>2024</v>
      </c>
      <c r="J67" s="55" t="str">
        <f t="shared" ca="1" si="7"/>
        <v/>
      </c>
      <c r="K67" s="55">
        <f t="shared" ca="1" si="8"/>
        <v>410562729</v>
      </c>
      <c r="L67" s="55">
        <f ca="1">IF( VLOOKUP( $H67, INDIRECT( "Lookup_" &amp; $B67), IF( LEFT( $B67, 2) = "BS", R$2, R$1), 0) = "", "", VLOOKUP( $H67, INDIRECT( "Lookup_" &amp; $B67), IF( $B67 = "BSa", R$2, R$1), 0))</f>
        <v>251597977</v>
      </c>
      <c r="M67" s="55">
        <f t="shared" ca="1" si="9"/>
        <v>158964752</v>
      </c>
      <c r="N67" s="55">
        <f t="shared" ca="1" si="11"/>
        <v>158964752</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1</v>
      </c>
      <c r="G68" s="139">
        <f t="shared" ref="G68:G131" si="15">Datum_Broj</f>
        <v>45565</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44319271</v>
      </c>
      <c r="L68" s="55" t="str">
        <f t="shared" ca="1" si="10"/>
        <v/>
      </c>
      <c r="M68" s="55">
        <f t="shared" ref="M68:M131" ca="1" si="19">IF( VLOOKUP( $H68, INDIRECT( "Lookup_" &amp; $B68), IF( LEFT( $B68, 2) = "BS", S$2, S$1), 0) = "", "", VLOOKUP( $H68, INDIRECT( "Lookup_" &amp; $B68), IF( LEFT( $B68, 2) = "BS", S$2, S$1), 0))</f>
        <v>44319271</v>
      </c>
      <c r="N68" s="55">
        <f t="shared" ca="1" si="11"/>
        <v>44319271</v>
      </c>
    </row>
    <row r="69" spans="1:14" x14ac:dyDescent="0.2">
      <c r="A69" s="105">
        <v>68</v>
      </c>
      <c r="B69" s="105" t="str">
        <f>VLOOKUP( $A69, Aop!$A$2:$P$453, 2, 0)</f>
        <v>BSp</v>
      </c>
      <c r="C69" s="105">
        <v>26</v>
      </c>
      <c r="D69" s="105" t="str">
        <f>Podatak_MB</f>
        <v>01814788</v>
      </c>
      <c r="E69" s="105" t="str">
        <f>Podatak_JIB</f>
        <v>4400570050004</v>
      </c>
      <c r="F69" s="105" t="b">
        <f>Konsolidovan_izvjestaj</f>
        <v>1</v>
      </c>
      <c r="G69" s="139">
        <f>Datum_Broj</f>
        <v>45565</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100908661</v>
      </c>
      <c r="N69" s="55">
        <f t="shared" ca="1" si="11"/>
        <v>100908661</v>
      </c>
    </row>
    <row r="70" spans="1:14" x14ac:dyDescent="0.2">
      <c r="A70" s="105">
        <v>69</v>
      </c>
      <c r="B70" s="105" t="str">
        <f>VLOOKUP( $A70, Aop!$A$2:$P$453, 2, 0)</f>
        <v>BSp</v>
      </c>
      <c r="C70" s="105">
        <v>26</v>
      </c>
      <c r="D70" s="105" t="str">
        <f t="shared" si="12"/>
        <v>01814788</v>
      </c>
      <c r="E70" s="105" t="str">
        <f t="shared" si="13"/>
        <v>4400570050004</v>
      </c>
      <c r="F70" s="105" t="b">
        <f t="shared" si="14"/>
        <v>1</v>
      </c>
      <c r="G70" s="139">
        <f t="shared" si="15"/>
        <v>45565</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1</v>
      </c>
      <c r="G71" s="139">
        <f t="shared" si="15"/>
        <v>45565</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1</v>
      </c>
      <c r="G72" s="139">
        <f t="shared" si="15"/>
        <v>45565</v>
      </c>
      <c r="H72" s="105">
        <f>VLOOKUP( $A72, Aop!$A$2:$P$453, 4, 0)</f>
        <v>104</v>
      </c>
      <c r="I72" s="105">
        <f t="shared" si="16"/>
        <v>2024</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1</v>
      </c>
      <c r="G73" s="139">
        <f t="shared" si="15"/>
        <v>45565</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1</v>
      </c>
      <c r="G74" s="139">
        <f t="shared" si="15"/>
        <v>45565</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1</v>
      </c>
      <c r="G75" s="139">
        <f t="shared" si="15"/>
        <v>45565</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1</v>
      </c>
      <c r="G76" s="139">
        <f t="shared" si="15"/>
        <v>45565</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1</v>
      </c>
      <c r="G77" s="139">
        <f t="shared" si="15"/>
        <v>45565</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1</v>
      </c>
      <c r="G78" s="139">
        <f t="shared" si="15"/>
        <v>45565</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1</v>
      </c>
      <c r="G79" s="139">
        <f t="shared" si="15"/>
        <v>45565</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1</v>
      </c>
      <c r="G80" s="139">
        <f t="shared" si="15"/>
        <v>45565</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1</v>
      </c>
      <c r="G81" s="139">
        <f t="shared" si="15"/>
        <v>45565</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1</v>
      </c>
      <c r="G82" s="139">
        <f t="shared" si="15"/>
        <v>45565</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1</v>
      </c>
      <c r="G83" s="139">
        <f t="shared" si="15"/>
        <v>45565</v>
      </c>
      <c r="H83" s="105">
        <f>VLOOKUP( $A83, Aop!$A$2:$P$453, 4, 0)</f>
        <v>115</v>
      </c>
      <c r="I83" s="105">
        <f t="shared" si="16"/>
        <v>2024</v>
      </c>
      <c r="J83" s="55" t="str">
        <f t="shared" ca="1" si="20"/>
        <v/>
      </c>
      <c r="K83" s="55"/>
      <c r="L83" s="55" t="str">
        <f t="shared" ca="1" si="10"/>
        <v/>
      </c>
      <c r="M83" s="55">
        <f t="shared" ca="1" si="19"/>
        <v>14929655</v>
      </c>
      <c r="N83" s="55">
        <f t="shared" ca="1" si="11"/>
        <v>14929655</v>
      </c>
    </row>
    <row r="84" spans="1:14" x14ac:dyDescent="0.2">
      <c r="A84" s="105">
        <v>83</v>
      </c>
      <c r="B84" s="105" t="str">
        <f>VLOOKUP( $A84, Aop!$A$2:$P$453, 2, 0)</f>
        <v>BSp</v>
      </c>
      <c r="C84" s="105">
        <v>26</v>
      </c>
      <c r="D84" s="105" t="str">
        <f t="shared" si="12"/>
        <v>01814788</v>
      </c>
      <c r="E84" s="105" t="str">
        <f t="shared" si="13"/>
        <v>4400570050004</v>
      </c>
      <c r="F84" s="105" t="b">
        <f t="shared" si="14"/>
        <v>1</v>
      </c>
      <c r="G84" s="139">
        <f t="shared" si="15"/>
        <v>45565</v>
      </c>
      <c r="H84" s="105">
        <f>VLOOKUP( $A84, Aop!$A$2:$P$453, 4, 0)</f>
        <v>116</v>
      </c>
      <c r="I84" s="105">
        <f t="shared" si="16"/>
        <v>2024</v>
      </c>
      <c r="J84" s="55" t="str">
        <f t="shared" ca="1" si="20"/>
        <v/>
      </c>
      <c r="K84" s="55"/>
      <c r="L84" s="55" t="str">
        <f t="shared" ca="1" si="10"/>
        <v/>
      </c>
      <c r="M84" s="55">
        <f t="shared" ca="1" si="19"/>
        <v>944602</v>
      </c>
      <c r="N84" s="55">
        <f t="shared" ca="1" si="11"/>
        <v>944602</v>
      </c>
    </row>
    <row r="85" spans="1:14" x14ac:dyDescent="0.2">
      <c r="A85" s="105">
        <v>84</v>
      </c>
      <c r="B85" s="105" t="str">
        <f>VLOOKUP( $A85, Aop!$A$2:$P$453, 2, 0)</f>
        <v>BSp</v>
      </c>
      <c r="C85" s="105">
        <v>26</v>
      </c>
      <c r="D85" s="105" t="str">
        <f t="shared" si="12"/>
        <v>01814788</v>
      </c>
      <c r="E85" s="105" t="str">
        <f t="shared" si="13"/>
        <v>4400570050004</v>
      </c>
      <c r="F85" s="105" t="b">
        <f t="shared" si="14"/>
        <v>1</v>
      </c>
      <c r="G85" s="139">
        <f t="shared" si="15"/>
        <v>45565</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1</v>
      </c>
      <c r="G86" s="139">
        <f t="shared" si="15"/>
        <v>45565</v>
      </c>
      <c r="H86" s="105">
        <f>VLOOKUP( $A86, Aop!$A$2:$P$453, 4, 0)</f>
        <v>118</v>
      </c>
      <c r="I86" s="105">
        <f t="shared" si="16"/>
        <v>2024</v>
      </c>
      <c r="J86" s="55" t="str">
        <f t="shared" ca="1" si="20"/>
        <v/>
      </c>
      <c r="K86" s="55"/>
      <c r="L86" s="55" t="str">
        <f t="shared" ca="1" si="10"/>
        <v/>
      </c>
      <c r="M86" s="55">
        <f t="shared" ca="1" si="19"/>
        <v>13985053</v>
      </c>
      <c r="N86" s="55">
        <f t="shared" ca="1" si="11"/>
        <v>13985053</v>
      </c>
    </row>
    <row r="87" spans="1:14" x14ac:dyDescent="0.2">
      <c r="A87" s="105">
        <v>86</v>
      </c>
      <c r="B87" s="105" t="str">
        <f>VLOOKUP( $A87, Aop!$A$2:$P$453, 2, 0)</f>
        <v>BSp</v>
      </c>
      <c r="C87" s="105">
        <v>26</v>
      </c>
      <c r="D87" s="105" t="str">
        <f t="shared" si="12"/>
        <v>01814788</v>
      </c>
      <c r="E87" s="105" t="str">
        <f t="shared" si="13"/>
        <v>4400570050004</v>
      </c>
      <c r="F87" s="105" t="b">
        <f t="shared" si="14"/>
        <v>1</v>
      </c>
      <c r="G87" s="139">
        <f t="shared" si="15"/>
        <v>45565</v>
      </c>
      <c r="H87" s="105">
        <f>VLOOKUP( $A87, Aop!$A$2:$P$453, 4, 0)</f>
        <v>119</v>
      </c>
      <c r="I87" s="105">
        <f t="shared" si="16"/>
        <v>2024</v>
      </c>
      <c r="J87" s="55" t="str">
        <f t="shared" ca="1" si="20"/>
        <v/>
      </c>
      <c r="K87" s="55"/>
      <c r="L87" s="55" t="str">
        <f t="shared" ca="1" si="10"/>
        <v/>
      </c>
      <c r="M87" s="55">
        <f t="shared" ca="1" si="19"/>
        <v>27527089</v>
      </c>
      <c r="N87" s="55">
        <f t="shared" ca="1" si="11"/>
        <v>27527089</v>
      </c>
    </row>
    <row r="88" spans="1:14" x14ac:dyDescent="0.2">
      <c r="A88" s="105">
        <v>87</v>
      </c>
      <c r="B88" s="105" t="str">
        <f>VLOOKUP( $A88, Aop!$A$2:$P$453, 2, 0)</f>
        <v>BSp</v>
      </c>
      <c r="C88" s="105">
        <v>26</v>
      </c>
      <c r="D88" s="105" t="str">
        <f t="shared" si="12"/>
        <v>01814788</v>
      </c>
      <c r="E88" s="105" t="str">
        <f t="shared" si="13"/>
        <v>4400570050004</v>
      </c>
      <c r="F88" s="105" t="b">
        <f t="shared" si="14"/>
        <v>1</v>
      </c>
      <c r="G88" s="139">
        <f t="shared" si="15"/>
        <v>45565</v>
      </c>
      <c r="H88" s="105">
        <f>VLOOKUP( $A88, Aop!$A$2:$P$453, 4, 0)</f>
        <v>120</v>
      </c>
      <c r="I88" s="105">
        <f t="shared" si="16"/>
        <v>2024</v>
      </c>
      <c r="J88" s="55" t="str">
        <f t="shared" ca="1" si="20"/>
        <v/>
      </c>
      <c r="K88" s="55"/>
      <c r="L88" s="55" t="str">
        <f t="shared" ca="1" si="10"/>
        <v/>
      </c>
      <c r="M88" s="55">
        <f t="shared" ca="1" si="19"/>
        <v>27527089</v>
      </c>
      <c r="N88" s="55">
        <f t="shared" ca="1" si="11"/>
        <v>27527089</v>
      </c>
    </row>
    <row r="89" spans="1:14" x14ac:dyDescent="0.2">
      <c r="A89" s="105">
        <v>88</v>
      </c>
      <c r="B89" s="105" t="str">
        <f>VLOOKUP( $A89, Aop!$A$2:$P$453, 2, 0)</f>
        <v>BSp</v>
      </c>
      <c r="C89" s="105">
        <v>26</v>
      </c>
      <c r="D89" s="105" t="str">
        <f t="shared" si="12"/>
        <v>01814788</v>
      </c>
      <c r="E89" s="105" t="str">
        <f t="shared" si="13"/>
        <v>4400570050004</v>
      </c>
      <c r="F89" s="105" t="b">
        <f t="shared" si="14"/>
        <v>1</v>
      </c>
      <c r="G89" s="139">
        <f t="shared" si="15"/>
        <v>45565</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1</v>
      </c>
      <c r="G90" s="139">
        <f t="shared" si="15"/>
        <v>45565</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1</v>
      </c>
      <c r="G91" s="139">
        <f t="shared" si="15"/>
        <v>45565</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1</v>
      </c>
      <c r="G92" s="139">
        <f t="shared" si="15"/>
        <v>45565</v>
      </c>
      <c r="H92" s="105">
        <f>VLOOKUP( $A92, Aop!$A$2:$P$453, 4, 0)</f>
        <v>124</v>
      </c>
      <c r="I92" s="105">
        <f t="shared" si="16"/>
        <v>2024</v>
      </c>
      <c r="J92" s="55" t="str">
        <f t="shared" ca="1" si="20"/>
        <v/>
      </c>
      <c r="K92" s="55"/>
      <c r="L92" s="55" t="str">
        <f t="shared" ca="1" si="10"/>
        <v/>
      </c>
      <c r="M92" s="55">
        <f t="shared" ca="1" si="19"/>
        <v>42656018</v>
      </c>
      <c r="N92" s="55">
        <f t="shared" ca="1" si="11"/>
        <v>42656018</v>
      </c>
    </row>
    <row r="93" spans="1:14" x14ac:dyDescent="0.2">
      <c r="A93" s="105">
        <v>92</v>
      </c>
      <c r="B93" s="105" t="str">
        <f>VLOOKUP( $A93, Aop!$A$2:$P$453, 2, 0)</f>
        <v>BSp</v>
      </c>
      <c r="C93" s="105">
        <v>26</v>
      </c>
      <c r="D93" s="105" t="str">
        <f t="shared" si="12"/>
        <v>01814788</v>
      </c>
      <c r="E93" s="105" t="str">
        <f t="shared" si="13"/>
        <v>4400570050004</v>
      </c>
      <c r="F93" s="105" t="b">
        <f t="shared" si="14"/>
        <v>1</v>
      </c>
      <c r="G93" s="139">
        <f t="shared" si="15"/>
        <v>45565</v>
      </c>
      <c r="H93" s="105">
        <f>VLOOKUP( $A93, Aop!$A$2:$P$453, 4, 0)</f>
        <v>125</v>
      </c>
      <c r="I93" s="105">
        <f t="shared" si="16"/>
        <v>2024</v>
      </c>
      <c r="J93" s="55" t="str">
        <f t="shared" ca="1" si="20"/>
        <v/>
      </c>
      <c r="K93" s="55"/>
      <c r="L93" s="55" t="str">
        <f t="shared" ca="1" si="10"/>
        <v/>
      </c>
      <c r="M93" s="55">
        <f t="shared" ca="1" si="19"/>
        <v>42139485</v>
      </c>
      <c r="N93" s="55">
        <f t="shared" ca="1" si="11"/>
        <v>42139485</v>
      </c>
    </row>
    <row r="94" spans="1:14" x14ac:dyDescent="0.2">
      <c r="A94" s="105">
        <v>93</v>
      </c>
      <c r="B94" s="105" t="str">
        <f>VLOOKUP( $A94, Aop!$A$2:$P$453, 2, 0)</f>
        <v>BSp</v>
      </c>
      <c r="C94" s="105">
        <v>26</v>
      </c>
      <c r="D94" s="105" t="str">
        <f t="shared" si="12"/>
        <v>01814788</v>
      </c>
      <c r="E94" s="105" t="str">
        <f t="shared" si="13"/>
        <v>4400570050004</v>
      </c>
      <c r="F94" s="105" t="b">
        <f t="shared" si="14"/>
        <v>1</v>
      </c>
      <c r="G94" s="139">
        <f t="shared" si="15"/>
        <v>45565</v>
      </c>
      <c r="H94" s="105">
        <f>VLOOKUP( $A94, Aop!$A$2:$P$453, 4, 0)</f>
        <v>126</v>
      </c>
      <c r="I94" s="105">
        <f t="shared" si="16"/>
        <v>2024</v>
      </c>
      <c r="J94" s="55" t="str">
        <f t="shared" ca="1" si="20"/>
        <v/>
      </c>
      <c r="K94" s="55"/>
      <c r="L94" s="55" t="str">
        <f t="shared" ca="1" si="10"/>
        <v/>
      </c>
      <c r="M94" s="55">
        <f t="shared" ca="1" si="19"/>
        <v>516533</v>
      </c>
      <c r="N94" s="55">
        <f t="shared" ca="1" si="11"/>
        <v>516533</v>
      </c>
    </row>
    <row r="95" spans="1:14" x14ac:dyDescent="0.2">
      <c r="A95" s="105">
        <v>94</v>
      </c>
      <c r="B95" s="105" t="str">
        <f>VLOOKUP( $A95, Aop!$A$2:$P$453, 2, 0)</f>
        <v>BSp</v>
      </c>
      <c r="C95" s="105">
        <v>26</v>
      </c>
      <c r="D95" s="105" t="str">
        <f t="shared" si="12"/>
        <v>01814788</v>
      </c>
      <c r="E95" s="105" t="str">
        <f t="shared" si="13"/>
        <v>4400570050004</v>
      </c>
      <c r="F95" s="105" t="b">
        <f t="shared" si="14"/>
        <v>1</v>
      </c>
      <c r="G95" s="139">
        <f t="shared" si="15"/>
        <v>45565</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1</v>
      </c>
      <c r="G96" s="139">
        <f t="shared" si="15"/>
        <v>45565</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1</v>
      </c>
      <c r="G97" s="139">
        <f t="shared" si="15"/>
        <v>45565</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1</v>
      </c>
      <c r="G98" s="139">
        <f t="shared" si="15"/>
        <v>45565</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1</v>
      </c>
      <c r="G99" s="139">
        <f t="shared" si="15"/>
        <v>45565</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1</v>
      </c>
      <c r="G100" s="139">
        <f t="shared" si="15"/>
        <v>45565</v>
      </c>
      <c r="H100" s="105">
        <f>VLOOKUP( $A100, Aop!$A$2:$P$453, 4, 0)</f>
        <v>132</v>
      </c>
      <c r="I100" s="105">
        <f t="shared" si="16"/>
        <v>2024</v>
      </c>
      <c r="J100" s="55" t="str">
        <f t="shared" ca="1" si="20"/>
        <v/>
      </c>
      <c r="K100" s="55"/>
      <c r="L100" s="55" t="str">
        <f t="shared" ca="1" si="10"/>
        <v/>
      </c>
      <c r="M100" s="55">
        <f t="shared" ca="1" si="19"/>
        <v>42983430</v>
      </c>
      <c r="N100" s="55">
        <f t="shared" ca="1" si="11"/>
        <v>42983430</v>
      </c>
    </row>
    <row r="101" spans="1:14" x14ac:dyDescent="0.2">
      <c r="A101" s="105">
        <v>100</v>
      </c>
      <c r="B101" s="105" t="str">
        <f>VLOOKUP( $A101, Aop!$A$2:$P$453, 2, 0)</f>
        <v>BSp</v>
      </c>
      <c r="C101" s="105">
        <v>26</v>
      </c>
      <c r="D101" s="105" t="str">
        <f t="shared" si="12"/>
        <v>01814788</v>
      </c>
      <c r="E101" s="105" t="str">
        <f t="shared" si="13"/>
        <v>4400570050004</v>
      </c>
      <c r="F101" s="105" t="b">
        <f t="shared" si="14"/>
        <v>1</v>
      </c>
      <c r="G101" s="139">
        <f t="shared" si="15"/>
        <v>45565</v>
      </c>
      <c r="H101" s="105">
        <f>VLOOKUP( $A101, Aop!$A$2:$P$453, 4, 0)</f>
        <v>133</v>
      </c>
      <c r="I101" s="105">
        <f t="shared" si="16"/>
        <v>2024</v>
      </c>
      <c r="J101" s="55" t="str">
        <f t="shared" ca="1" si="20"/>
        <v/>
      </c>
      <c r="K101" s="55"/>
      <c r="L101" s="55" t="str">
        <f t="shared" ca="1" si="10"/>
        <v/>
      </c>
      <c r="M101" s="55">
        <f t="shared" ca="1" si="19"/>
        <v>820424</v>
      </c>
      <c r="N101" s="55">
        <f t="shared" ca="1" si="11"/>
        <v>820424</v>
      </c>
    </row>
    <row r="102" spans="1:14" x14ac:dyDescent="0.2">
      <c r="A102" s="105">
        <v>101</v>
      </c>
      <c r="B102" s="105" t="str">
        <f>VLOOKUP( $A102, Aop!$A$2:$P$453, 2, 0)</f>
        <v>BSp</v>
      </c>
      <c r="C102" s="105">
        <v>26</v>
      </c>
      <c r="D102" s="105" t="str">
        <f t="shared" si="12"/>
        <v>01814788</v>
      </c>
      <c r="E102" s="105" t="str">
        <f t="shared" si="13"/>
        <v>4400570050004</v>
      </c>
      <c r="F102" s="105" t="b">
        <f t="shared" si="14"/>
        <v>1</v>
      </c>
      <c r="G102" s="139">
        <f t="shared" si="15"/>
        <v>45565</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1</v>
      </c>
      <c r="G103" s="139">
        <f t="shared" si="15"/>
        <v>45565</v>
      </c>
      <c r="H103" s="105">
        <f>VLOOKUP( $A103, Aop!$A$2:$P$453, 4, 0)</f>
        <v>135</v>
      </c>
      <c r="I103" s="105">
        <f t="shared" si="16"/>
        <v>2024</v>
      </c>
      <c r="J103" s="55" t="str">
        <f t="shared" ca="1" si="20"/>
        <v/>
      </c>
      <c r="K103" s="55"/>
      <c r="L103" s="55" t="str">
        <f t="shared" ca="1" si="10"/>
        <v/>
      </c>
      <c r="M103" s="55">
        <f t="shared" ca="1" si="19"/>
        <v>764584</v>
      </c>
      <c r="N103" s="55">
        <f t="shared" ca="1" si="11"/>
        <v>764584</v>
      </c>
    </row>
    <row r="104" spans="1:14" x14ac:dyDescent="0.2">
      <c r="A104" s="105">
        <v>103</v>
      </c>
      <c r="B104" s="105" t="str">
        <f>VLOOKUP( $A104, Aop!$A$2:$P$453, 2, 0)</f>
        <v>BSp</v>
      </c>
      <c r="C104" s="105">
        <v>26</v>
      </c>
      <c r="D104" s="105" t="str">
        <f t="shared" si="12"/>
        <v>01814788</v>
      </c>
      <c r="E104" s="105" t="str">
        <f t="shared" si="13"/>
        <v>4400570050004</v>
      </c>
      <c r="F104" s="105" t="b">
        <f t="shared" si="14"/>
        <v>1</v>
      </c>
      <c r="G104" s="139">
        <f t="shared" si="15"/>
        <v>45565</v>
      </c>
      <c r="H104" s="105">
        <f>VLOOKUP( $A104, Aop!$A$2:$P$453, 4, 0)</f>
        <v>136</v>
      </c>
      <c r="I104" s="105">
        <f t="shared" si="16"/>
        <v>2024</v>
      </c>
      <c r="J104" s="55" t="str">
        <f t="shared" ca="1" si="20"/>
        <v/>
      </c>
      <c r="K104" s="55"/>
      <c r="L104" s="55" t="str">
        <f t="shared" ca="1" si="10"/>
        <v/>
      </c>
      <c r="M104" s="55">
        <f t="shared" ca="1" si="19"/>
        <v>55840</v>
      </c>
      <c r="N104" s="55">
        <f t="shared" ca="1" si="11"/>
        <v>55840</v>
      </c>
    </row>
    <row r="105" spans="1:14" x14ac:dyDescent="0.2">
      <c r="A105" s="105">
        <v>104</v>
      </c>
      <c r="B105" s="105" t="str">
        <f>VLOOKUP( $A105, Aop!$A$2:$P$453, 2, 0)</f>
        <v>BSp</v>
      </c>
      <c r="C105" s="105">
        <v>26</v>
      </c>
      <c r="D105" s="105" t="str">
        <f t="shared" si="12"/>
        <v>01814788</v>
      </c>
      <c r="E105" s="105" t="str">
        <f t="shared" si="13"/>
        <v>4400570050004</v>
      </c>
      <c r="F105" s="105" t="b">
        <f t="shared" si="14"/>
        <v>1</v>
      </c>
      <c r="G105" s="139">
        <f t="shared" si="15"/>
        <v>45565</v>
      </c>
      <c r="H105" s="105">
        <f>VLOOKUP( $A105, Aop!$A$2:$P$453, 4, 0)</f>
        <v>137</v>
      </c>
      <c r="I105" s="105">
        <f t="shared" si="16"/>
        <v>2024</v>
      </c>
      <c r="J105" s="55" t="str">
        <f t="shared" ca="1" si="20"/>
        <v/>
      </c>
      <c r="K105" s="55"/>
      <c r="L105" s="55" t="str">
        <f t="shared" ca="1" si="10"/>
        <v/>
      </c>
      <c r="M105" s="55">
        <f t="shared" ca="1" si="19"/>
        <v>29054932</v>
      </c>
      <c r="N105" s="55">
        <f t="shared" ca="1" si="11"/>
        <v>29054932</v>
      </c>
    </row>
    <row r="106" spans="1:14" x14ac:dyDescent="0.2">
      <c r="A106" s="105">
        <v>105</v>
      </c>
      <c r="B106" s="105" t="str">
        <f>VLOOKUP( $A106, Aop!$A$2:$P$453, 2, 0)</f>
        <v>BSp</v>
      </c>
      <c r="C106" s="105">
        <v>26</v>
      </c>
      <c r="D106" s="105" t="str">
        <f t="shared" si="12"/>
        <v>01814788</v>
      </c>
      <c r="E106" s="105" t="str">
        <f t="shared" si="13"/>
        <v>4400570050004</v>
      </c>
      <c r="F106" s="105" t="b">
        <f t="shared" si="14"/>
        <v>1</v>
      </c>
      <c r="G106" s="139">
        <f t="shared" si="15"/>
        <v>45565</v>
      </c>
      <c r="H106" s="105">
        <f>VLOOKUP( $A106, Aop!$A$2:$P$453, 4, 0)</f>
        <v>138</v>
      </c>
      <c r="I106" s="105">
        <f t="shared" si="16"/>
        <v>2024</v>
      </c>
      <c r="J106" s="55" t="str">
        <f t="shared" ca="1" si="20"/>
        <v/>
      </c>
      <c r="K106" s="55"/>
      <c r="L106" s="55" t="str">
        <f t="shared" ca="1" si="10"/>
        <v/>
      </c>
      <c r="M106" s="55">
        <f t="shared" ca="1" si="19"/>
        <v>13648497</v>
      </c>
      <c r="N106" s="55">
        <f t="shared" ca="1" si="11"/>
        <v>13648497</v>
      </c>
    </row>
    <row r="107" spans="1:14" x14ac:dyDescent="0.2">
      <c r="A107" s="105">
        <v>106</v>
      </c>
      <c r="B107" s="105" t="str">
        <f>VLOOKUP( $A107, Aop!$A$2:$P$453, 2, 0)</f>
        <v>BSp</v>
      </c>
      <c r="C107" s="105">
        <v>26</v>
      </c>
      <c r="D107" s="105" t="str">
        <f t="shared" si="12"/>
        <v>01814788</v>
      </c>
      <c r="E107" s="105" t="str">
        <f t="shared" si="13"/>
        <v>4400570050004</v>
      </c>
      <c r="F107" s="105" t="b">
        <f t="shared" si="14"/>
        <v>1</v>
      </c>
      <c r="G107" s="139">
        <f t="shared" si="15"/>
        <v>45565</v>
      </c>
      <c r="H107" s="105">
        <f>VLOOKUP( $A107, Aop!$A$2:$P$453, 4, 0)</f>
        <v>139</v>
      </c>
      <c r="I107" s="105">
        <f t="shared" si="16"/>
        <v>2024</v>
      </c>
      <c r="J107" s="55" t="str">
        <f t="shared" ca="1" si="20"/>
        <v/>
      </c>
      <c r="K107" s="55"/>
      <c r="L107" s="55" t="str">
        <f t="shared" ca="1" si="10"/>
        <v/>
      </c>
      <c r="M107" s="55">
        <f t="shared" ca="1" si="19"/>
        <v>7873892</v>
      </c>
      <c r="N107" s="55">
        <f t="shared" ca="1" si="11"/>
        <v>7873892</v>
      </c>
    </row>
    <row r="108" spans="1:14" x14ac:dyDescent="0.2">
      <c r="A108" s="105">
        <v>107</v>
      </c>
      <c r="B108" s="105" t="str">
        <f>VLOOKUP( $A108, Aop!$A$2:$P$453, 2, 0)</f>
        <v>BSp</v>
      </c>
      <c r="C108" s="105">
        <v>26</v>
      </c>
      <c r="D108" s="105" t="str">
        <f t="shared" si="12"/>
        <v>01814788</v>
      </c>
      <c r="E108" s="105" t="str">
        <f t="shared" si="13"/>
        <v>4400570050004</v>
      </c>
      <c r="F108" s="105" t="b">
        <f t="shared" si="14"/>
        <v>1</v>
      </c>
      <c r="G108" s="139">
        <f t="shared" si="15"/>
        <v>45565</v>
      </c>
      <c r="H108" s="105">
        <f>VLOOKUP( $A108, Aop!$A$2:$P$453, 4, 0)</f>
        <v>140</v>
      </c>
      <c r="I108" s="105">
        <f t="shared" si="16"/>
        <v>2024</v>
      </c>
      <c r="J108" s="55" t="str">
        <f t="shared" ca="1" si="20"/>
        <v/>
      </c>
      <c r="K108" s="55"/>
      <c r="L108" s="55" t="str">
        <f t="shared" ca="1" si="10"/>
        <v/>
      </c>
      <c r="M108" s="55">
        <f t="shared" ca="1" si="19"/>
        <v>3603784</v>
      </c>
      <c r="N108" s="55">
        <f t="shared" ca="1" si="11"/>
        <v>3603784</v>
      </c>
    </row>
    <row r="109" spans="1:14" x14ac:dyDescent="0.2">
      <c r="A109" s="105">
        <v>108</v>
      </c>
      <c r="B109" s="105" t="str">
        <f>VLOOKUP( $A109, Aop!$A$2:$P$453, 2, 0)</f>
        <v>BSp</v>
      </c>
      <c r="C109" s="105">
        <v>26</v>
      </c>
      <c r="D109" s="105" t="str">
        <f t="shared" si="12"/>
        <v>01814788</v>
      </c>
      <c r="E109" s="105" t="str">
        <f t="shared" si="13"/>
        <v>4400570050004</v>
      </c>
      <c r="F109" s="105" t="b">
        <f t="shared" si="14"/>
        <v>1</v>
      </c>
      <c r="G109" s="139">
        <f t="shared" si="15"/>
        <v>45565</v>
      </c>
      <c r="H109" s="105">
        <f>VLOOKUP( $A109, Aop!$A$2:$P$453, 4, 0)</f>
        <v>141</v>
      </c>
      <c r="I109" s="105">
        <f t="shared" si="16"/>
        <v>2024</v>
      </c>
      <c r="J109" s="55" t="str">
        <f t="shared" ca="1" si="20"/>
        <v/>
      </c>
      <c r="K109" s="55"/>
      <c r="L109" s="55" t="str">
        <f t="shared" ca="1" si="10"/>
        <v/>
      </c>
      <c r="M109" s="55">
        <f t="shared" ca="1" si="19"/>
        <v>3644854</v>
      </c>
      <c r="N109" s="55">
        <f t="shared" ca="1" si="11"/>
        <v>3644854</v>
      </c>
    </row>
    <row r="110" spans="1:14" x14ac:dyDescent="0.2">
      <c r="A110" s="105">
        <v>109</v>
      </c>
      <c r="B110" s="105" t="str">
        <f>VLOOKUP( $A110, Aop!$A$2:$P$453, 2, 0)</f>
        <v>BSp</v>
      </c>
      <c r="C110" s="105">
        <v>26</v>
      </c>
      <c r="D110" s="105" t="str">
        <f t="shared" si="12"/>
        <v>01814788</v>
      </c>
      <c r="E110" s="105" t="str">
        <f t="shared" si="13"/>
        <v>4400570050004</v>
      </c>
      <c r="F110" s="105" t="b">
        <f t="shared" si="14"/>
        <v>1</v>
      </c>
      <c r="G110" s="139">
        <f t="shared" si="15"/>
        <v>45565</v>
      </c>
      <c r="H110" s="105">
        <f>VLOOKUP( $A110, Aop!$A$2:$P$453, 4, 0)</f>
        <v>142</v>
      </c>
      <c r="I110" s="105">
        <f t="shared" si="16"/>
        <v>2024</v>
      </c>
      <c r="J110" s="55" t="str">
        <f t="shared" ca="1" si="20"/>
        <v/>
      </c>
      <c r="K110" s="55"/>
      <c r="L110" s="55" t="str">
        <f t="shared" ca="1" si="10"/>
        <v/>
      </c>
      <c r="M110" s="55">
        <f t="shared" ca="1" si="19"/>
        <v>147721</v>
      </c>
      <c r="N110" s="55">
        <f t="shared" ca="1" si="11"/>
        <v>147721</v>
      </c>
    </row>
    <row r="111" spans="1:14" x14ac:dyDescent="0.2">
      <c r="A111" s="105">
        <v>110</v>
      </c>
      <c r="B111" s="105" t="str">
        <f>VLOOKUP( $A111, Aop!$A$2:$P$453, 2, 0)</f>
        <v>BSp</v>
      </c>
      <c r="C111" s="105">
        <v>26</v>
      </c>
      <c r="D111" s="105" t="str">
        <f t="shared" si="12"/>
        <v>01814788</v>
      </c>
      <c r="E111" s="105" t="str">
        <f t="shared" si="13"/>
        <v>4400570050004</v>
      </c>
      <c r="F111" s="105" t="b">
        <f t="shared" si="14"/>
        <v>1</v>
      </c>
      <c r="G111" s="139">
        <f t="shared" si="15"/>
        <v>45565</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1</v>
      </c>
      <c r="G112" s="139">
        <f t="shared" si="15"/>
        <v>45565</v>
      </c>
      <c r="H112" s="105">
        <f>VLOOKUP( $A112, Aop!$A$2:$P$453, 4, 0)</f>
        <v>144</v>
      </c>
      <c r="I112" s="105">
        <f t="shared" si="16"/>
        <v>2024</v>
      </c>
      <c r="J112" s="55" t="str">
        <f t="shared" ca="1" si="20"/>
        <v/>
      </c>
      <c r="K112" s="55"/>
      <c r="L112" s="55" t="str">
        <f t="shared" ca="1" si="10"/>
        <v/>
      </c>
      <c r="M112" s="55">
        <f t="shared" ca="1" si="19"/>
        <v>136184</v>
      </c>
      <c r="N112" s="55">
        <f t="shared" ca="1" si="11"/>
        <v>136184</v>
      </c>
    </row>
    <row r="113" spans="1:14" x14ac:dyDescent="0.2">
      <c r="A113" s="105">
        <v>112</v>
      </c>
      <c r="B113" s="105" t="str">
        <f>VLOOKUP( $A113, Aop!$A$2:$P$453, 2, 0)</f>
        <v>BSp</v>
      </c>
      <c r="C113" s="105">
        <v>26</v>
      </c>
      <c r="D113" s="105" t="str">
        <f t="shared" si="12"/>
        <v>01814788</v>
      </c>
      <c r="E113" s="105" t="str">
        <f t="shared" si="13"/>
        <v>4400570050004</v>
      </c>
      <c r="F113" s="105" t="b">
        <f t="shared" si="14"/>
        <v>1</v>
      </c>
      <c r="G113" s="139">
        <f t="shared" si="15"/>
        <v>45565</v>
      </c>
      <c r="H113" s="105">
        <f>VLOOKUP( $A113, Aop!$A$2:$P$453, 4, 0)</f>
        <v>145</v>
      </c>
      <c r="I113" s="105">
        <f t="shared" si="16"/>
        <v>2024</v>
      </c>
      <c r="J113" s="55" t="str">
        <f t="shared" ca="1" si="20"/>
        <v/>
      </c>
      <c r="K113" s="55"/>
      <c r="L113" s="55" t="str">
        <f t="shared" ca="1" si="10"/>
        <v/>
      </c>
      <c r="M113" s="55">
        <f t="shared" ca="1" si="19"/>
        <v>13108074</v>
      </c>
      <c r="N113" s="55">
        <f t="shared" ca="1" si="11"/>
        <v>13108074</v>
      </c>
    </row>
    <row r="114" spans="1:14" x14ac:dyDescent="0.2">
      <c r="A114" s="105">
        <v>113</v>
      </c>
      <c r="B114" s="105" t="str">
        <f>VLOOKUP( $A114, Aop!$A$2:$P$453, 2, 0)</f>
        <v>BSp</v>
      </c>
      <c r="C114" s="105">
        <v>26</v>
      </c>
      <c r="D114" s="105" t="str">
        <f t="shared" si="12"/>
        <v>01814788</v>
      </c>
      <c r="E114" s="105" t="str">
        <f t="shared" si="13"/>
        <v>4400570050004</v>
      </c>
      <c r="F114" s="105" t="b">
        <f t="shared" si="14"/>
        <v>1</v>
      </c>
      <c r="G114" s="139">
        <f t="shared" si="15"/>
        <v>45565</v>
      </c>
      <c r="H114" s="105">
        <f>VLOOKUP( $A114, Aop!$A$2:$P$453, 4, 0)</f>
        <v>146</v>
      </c>
      <c r="I114" s="105">
        <f t="shared" si="16"/>
        <v>2024</v>
      </c>
      <c r="J114" s="55" t="str">
        <f t="shared" ca="1" si="20"/>
        <v/>
      </c>
      <c r="K114" s="55"/>
      <c r="L114" s="55" t="str">
        <f t="shared" ca="1" si="10"/>
        <v/>
      </c>
      <c r="M114" s="55">
        <f t="shared" ca="1" si="19"/>
        <v>5408885</v>
      </c>
      <c r="N114" s="55">
        <f t="shared" ca="1" si="11"/>
        <v>5408885</v>
      </c>
    </row>
    <row r="115" spans="1:14" x14ac:dyDescent="0.2">
      <c r="A115" s="105">
        <v>114</v>
      </c>
      <c r="B115" s="105" t="str">
        <f>VLOOKUP( $A115, Aop!$A$2:$P$453, 2, 0)</f>
        <v>BSp</v>
      </c>
      <c r="C115" s="105">
        <v>26</v>
      </c>
      <c r="D115" s="105" t="str">
        <f t="shared" si="12"/>
        <v>01814788</v>
      </c>
      <c r="E115" s="105" t="str">
        <f t="shared" si="13"/>
        <v>4400570050004</v>
      </c>
      <c r="F115" s="105" t="b">
        <f t="shared" si="14"/>
        <v>1</v>
      </c>
      <c r="G115" s="139">
        <f t="shared" si="15"/>
        <v>45565</v>
      </c>
      <c r="H115" s="105">
        <f>VLOOKUP( $A115, Aop!$A$2:$P$453, 4, 0)</f>
        <v>147</v>
      </c>
      <c r="I115" s="105">
        <f t="shared" si="16"/>
        <v>2024</v>
      </c>
      <c r="J115" s="55" t="str">
        <f t="shared" ca="1" si="20"/>
        <v/>
      </c>
      <c r="K115" s="55"/>
      <c r="L115" s="55" t="str">
        <f t="shared" ca="1" si="10"/>
        <v/>
      </c>
      <c r="M115" s="55">
        <f t="shared" ca="1" si="19"/>
        <v>9663776</v>
      </c>
      <c r="N115" s="55">
        <f t="shared" ca="1" si="11"/>
        <v>9663776</v>
      </c>
    </row>
    <row r="116" spans="1:14" x14ac:dyDescent="0.2">
      <c r="A116" s="105">
        <v>115</v>
      </c>
      <c r="B116" s="105" t="str">
        <f>VLOOKUP( $A116, Aop!$A$2:$P$453, 2, 0)</f>
        <v>BSp</v>
      </c>
      <c r="C116" s="105">
        <v>26</v>
      </c>
      <c r="D116" s="105" t="str">
        <f t="shared" si="12"/>
        <v>01814788</v>
      </c>
      <c r="E116" s="105" t="str">
        <f t="shared" si="13"/>
        <v>4400570050004</v>
      </c>
      <c r="F116" s="105" t="b">
        <f t="shared" si="14"/>
        <v>1</v>
      </c>
      <c r="G116" s="139">
        <f t="shared" si="15"/>
        <v>45565</v>
      </c>
      <c r="H116" s="105">
        <f>VLOOKUP( $A116, Aop!$A$2:$P$453, 4, 0)</f>
        <v>148</v>
      </c>
      <c r="I116" s="105">
        <f t="shared" si="16"/>
        <v>2024</v>
      </c>
      <c r="J116" s="55" t="str">
        <f t="shared" ca="1" si="20"/>
        <v/>
      </c>
      <c r="K116" s="55"/>
      <c r="L116" s="55" t="str">
        <f t="shared" ca="1" si="10"/>
        <v/>
      </c>
      <c r="M116" s="55">
        <f t="shared" ca="1" si="19"/>
        <v>1816994</v>
      </c>
      <c r="N116" s="55">
        <f t="shared" ca="1" si="11"/>
        <v>1816994</v>
      </c>
    </row>
    <row r="117" spans="1:14" x14ac:dyDescent="0.2">
      <c r="A117" s="105">
        <v>116</v>
      </c>
      <c r="B117" s="105" t="str">
        <f>VLOOKUP( $A117, Aop!$A$2:$P$453, 2, 0)</f>
        <v>BSp</v>
      </c>
      <c r="C117" s="105">
        <v>26</v>
      </c>
      <c r="D117" s="105" t="str">
        <f t="shared" si="12"/>
        <v>01814788</v>
      </c>
      <c r="E117" s="105" t="str">
        <f t="shared" si="13"/>
        <v>4400570050004</v>
      </c>
      <c r="F117" s="105" t="b">
        <f t="shared" si="14"/>
        <v>1</v>
      </c>
      <c r="G117" s="139">
        <f t="shared" si="15"/>
        <v>45565</v>
      </c>
      <c r="H117" s="105">
        <f>VLOOKUP( $A117, Aop!$A$2:$P$453, 4, 0)</f>
        <v>149</v>
      </c>
      <c r="I117" s="105">
        <f t="shared" si="16"/>
        <v>2024</v>
      </c>
      <c r="J117" s="55" t="str">
        <f t="shared" ca="1" si="20"/>
        <v/>
      </c>
      <c r="K117" s="55"/>
      <c r="L117" s="55" t="str">
        <f t="shared" ca="1" si="10"/>
        <v/>
      </c>
      <c r="M117" s="55">
        <f t="shared" ca="1" si="19"/>
        <v>352934</v>
      </c>
      <c r="N117" s="55">
        <f t="shared" ca="1" si="11"/>
        <v>352934</v>
      </c>
    </row>
    <row r="118" spans="1:14" x14ac:dyDescent="0.2">
      <c r="A118" s="105">
        <v>117</v>
      </c>
      <c r="B118" s="105" t="str">
        <f>VLOOKUP( $A118, Aop!$A$2:$P$453, 2, 0)</f>
        <v>BSp</v>
      </c>
      <c r="C118" s="105">
        <v>26</v>
      </c>
      <c r="D118" s="105" t="str">
        <f t="shared" si="12"/>
        <v>01814788</v>
      </c>
      <c r="E118" s="105" t="str">
        <f t="shared" si="13"/>
        <v>4400570050004</v>
      </c>
      <c r="F118" s="105" t="b">
        <f t="shared" si="14"/>
        <v>1</v>
      </c>
      <c r="G118" s="139">
        <f t="shared" si="15"/>
        <v>45565</v>
      </c>
      <c r="H118" s="105">
        <f>VLOOKUP( $A118, Aop!$A$2:$P$453, 4, 0)</f>
        <v>150</v>
      </c>
      <c r="I118" s="105">
        <f t="shared" si="16"/>
        <v>2024</v>
      </c>
      <c r="J118" s="55" t="str">
        <f t="shared" ca="1" si="20"/>
        <v/>
      </c>
      <c r="K118" s="55"/>
      <c r="L118" s="55" t="str">
        <f t="shared" ca="1" si="10"/>
        <v/>
      </c>
      <c r="M118" s="55">
        <f t="shared" ca="1" si="19"/>
        <v>1454985</v>
      </c>
      <c r="N118" s="55">
        <f t="shared" ca="1" si="11"/>
        <v>1454985</v>
      </c>
    </row>
    <row r="119" spans="1:14" x14ac:dyDescent="0.2">
      <c r="A119" s="105">
        <v>118</v>
      </c>
      <c r="B119" s="105" t="str">
        <f>VLOOKUP( $A119, Aop!$A$2:$P$453, 2, 0)</f>
        <v>BSp</v>
      </c>
      <c r="C119" s="105">
        <v>26</v>
      </c>
      <c r="D119" s="105" t="str">
        <f t="shared" si="12"/>
        <v>01814788</v>
      </c>
      <c r="E119" s="105" t="str">
        <f t="shared" si="13"/>
        <v>4400570050004</v>
      </c>
      <c r="F119" s="105" t="b">
        <f t="shared" si="14"/>
        <v>1</v>
      </c>
      <c r="G119" s="139">
        <f t="shared" si="15"/>
        <v>45565</v>
      </c>
      <c r="H119" s="105">
        <f>VLOOKUP( $A119, Aop!$A$2:$P$453, 4, 0)</f>
        <v>151</v>
      </c>
      <c r="I119" s="105">
        <f t="shared" si="16"/>
        <v>2024</v>
      </c>
      <c r="J119" s="55" t="str">
        <f t="shared" ca="1" si="20"/>
        <v/>
      </c>
      <c r="K119" s="55"/>
      <c r="L119" s="55" t="str">
        <f t="shared" ca="1" si="10"/>
        <v/>
      </c>
      <c r="M119" s="55">
        <f t="shared" ca="1" si="19"/>
        <v>9075</v>
      </c>
      <c r="N119" s="55">
        <f t="shared" ca="1" si="11"/>
        <v>9075</v>
      </c>
    </row>
    <row r="120" spans="1:14" x14ac:dyDescent="0.2">
      <c r="A120" s="105">
        <v>119</v>
      </c>
      <c r="B120" s="105" t="str">
        <f>VLOOKUP( $A120, Aop!$A$2:$P$453, 2, 0)</f>
        <v>BSp</v>
      </c>
      <c r="C120" s="105">
        <v>26</v>
      </c>
      <c r="D120" s="105" t="str">
        <f t="shared" si="12"/>
        <v>01814788</v>
      </c>
      <c r="E120" s="105" t="str">
        <f t="shared" si="13"/>
        <v>4400570050004</v>
      </c>
      <c r="F120" s="105" t="b">
        <f t="shared" si="14"/>
        <v>1</v>
      </c>
      <c r="G120" s="139">
        <f t="shared" si="15"/>
        <v>45565</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1</v>
      </c>
      <c r="G121" s="139">
        <f t="shared" si="15"/>
        <v>45565</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1</v>
      </c>
      <c r="G122" s="139">
        <f t="shared" si="15"/>
        <v>45565</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1</v>
      </c>
      <c r="G123" s="139">
        <f t="shared" si="15"/>
        <v>45565</v>
      </c>
      <c r="H123" s="105">
        <f>VLOOKUP( $A123, Aop!$A$2:$P$453, 4, 0)</f>
        <v>155</v>
      </c>
      <c r="I123" s="105">
        <f t="shared" si="16"/>
        <v>2024</v>
      </c>
      <c r="J123" s="55" t="str">
        <f t="shared" ca="1" si="20"/>
        <v/>
      </c>
      <c r="K123" s="55"/>
      <c r="L123" s="55" t="str">
        <f t="shared" ca="1" si="10"/>
        <v/>
      </c>
      <c r="M123" s="55">
        <f t="shared" ca="1" si="19"/>
        <v>5048490</v>
      </c>
      <c r="N123" s="55">
        <f t="shared" ca="1" si="11"/>
        <v>5048490</v>
      </c>
    </row>
    <row r="124" spans="1:14" x14ac:dyDescent="0.2">
      <c r="A124" s="105">
        <v>123</v>
      </c>
      <c r="B124" s="105" t="str">
        <f>VLOOKUP( $A124, Aop!$A$2:$P$453, 2, 0)</f>
        <v>BSp</v>
      </c>
      <c r="C124" s="105">
        <v>26</v>
      </c>
      <c r="D124" s="105" t="str">
        <f t="shared" si="12"/>
        <v>01814788</v>
      </c>
      <c r="E124" s="105" t="str">
        <f t="shared" si="13"/>
        <v>4400570050004</v>
      </c>
      <c r="F124" s="105" t="b">
        <f t="shared" si="14"/>
        <v>1</v>
      </c>
      <c r="G124" s="139">
        <f t="shared" si="15"/>
        <v>45565</v>
      </c>
      <c r="H124" s="105">
        <f>VLOOKUP( $A124, Aop!$A$2:$P$453, 4, 0)</f>
        <v>156</v>
      </c>
      <c r="I124" s="105">
        <f t="shared" si="16"/>
        <v>2024</v>
      </c>
      <c r="J124" s="55" t="str">
        <f t="shared" ca="1" si="20"/>
        <v/>
      </c>
      <c r="K124" s="55"/>
      <c r="L124" s="55" t="str">
        <f t="shared" ca="1" si="10"/>
        <v/>
      </c>
      <c r="M124" s="55">
        <f t="shared" ca="1" si="19"/>
        <v>423060</v>
      </c>
      <c r="N124" s="55">
        <f t="shared" ca="1" si="11"/>
        <v>423060</v>
      </c>
    </row>
    <row r="125" spans="1:14" x14ac:dyDescent="0.2">
      <c r="A125" s="105">
        <v>124</v>
      </c>
      <c r="B125" s="105" t="str">
        <f>VLOOKUP( $A125, Aop!$A$2:$P$453, 2, 0)</f>
        <v>BSp</v>
      </c>
      <c r="C125" s="105">
        <v>26</v>
      </c>
      <c r="D125" s="105" t="str">
        <f t="shared" si="12"/>
        <v>01814788</v>
      </c>
      <c r="E125" s="105" t="str">
        <f t="shared" si="13"/>
        <v>4400570050004</v>
      </c>
      <c r="F125" s="105" t="b">
        <f t="shared" si="14"/>
        <v>1</v>
      </c>
      <c r="G125" s="139">
        <f t="shared" si="15"/>
        <v>45565</v>
      </c>
      <c r="H125" s="105">
        <f>VLOOKUP( $A125, Aop!$A$2:$P$453, 4, 0)</f>
        <v>157</v>
      </c>
      <c r="I125" s="105">
        <f t="shared" si="16"/>
        <v>2024</v>
      </c>
      <c r="J125" s="55" t="str">
        <f t="shared" ca="1" si="20"/>
        <v/>
      </c>
      <c r="K125" s="55"/>
      <c r="L125" s="55" t="str">
        <f t="shared" ca="1" si="10"/>
        <v/>
      </c>
      <c r="M125" s="55">
        <f t="shared" ca="1" si="19"/>
        <v>2730039</v>
      </c>
      <c r="N125" s="55">
        <f t="shared" ca="1" si="11"/>
        <v>2730039</v>
      </c>
    </row>
    <row r="126" spans="1:14" x14ac:dyDescent="0.2">
      <c r="A126" s="105">
        <v>125</v>
      </c>
      <c r="B126" s="105" t="str">
        <f>VLOOKUP( $A126, Aop!$A$2:$P$453, 2, 0)</f>
        <v>BSp</v>
      </c>
      <c r="C126" s="105">
        <v>26</v>
      </c>
      <c r="D126" s="105" t="str">
        <f t="shared" si="12"/>
        <v>01814788</v>
      </c>
      <c r="E126" s="105" t="str">
        <f t="shared" si="13"/>
        <v>4400570050004</v>
      </c>
      <c r="F126" s="105" t="b">
        <f t="shared" si="14"/>
        <v>1</v>
      </c>
      <c r="G126" s="139">
        <f t="shared" si="15"/>
        <v>45565</v>
      </c>
      <c r="H126" s="105">
        <f>VLOOKUP( $A126, Aop!$A$2:$P$453, 4, 0)</f>
        <v>158</v>
      </c>
      <c r="I126" s="105">
        <f t="shared" si="16"/>
        <v>2024</v>
      </c>
      <c r="J126" s="55" t="str">
        <f t="shared" ca="1" si="20"/>
        <v/>
      </c>
      <c r="K126" s="55"/>
      <c r="L126" s="55" t="str">
        <f t="shared" ca="1" si="10"/>
        <v/>
      </c>
      <c r="M126" s="55">
        <f t="shared" ca="1" si="19"/>
        <v>1783197</v>
      </c>
      <c r="N126" s="55">
        <f t="shared" ca="1" si="11"/>
        <v>1783197</v>
      </c>
    </row>
    <row r="127" spans="1:14" x14ac:dyDescent="0.2">
      <c r="A127" s="105">
        <v>126</v>
      </c>
      <c r="B127" s="105" t="str">
        <f>VLOOKUP( $A127, Aop!$A$2:$P$453, 2, 0)</f>
        <v>BSp</v>
      </c>
      <c r="C127" s="105">
        <v>26</v>
      </c>
      <c r="D127" s="105" t="str">
        <f t="shared" si="12"/>
        <v>01814788</v>
      </c>
      <c r="E127" s="105" t="str">
        <f t="shared" si="13"/>
        <v>4400570050004</v>
      </c>
      <c r="F127" s="105" t="b">
        <f t="shared" si="14"/>
        <v>1</v>
      </c>
      <c r="G127" s="139">
        <f t="shared" si="15"/>
        <v>45565</v>
      </c>
      <c r="H127" s="105">
        <f>VLOOKUP( $A127, Aop!$A$2:$P$453, 4, 0)</f>
        <v>159</v>
      </c>
      <c r="I127" s="105">
        <f t="shared" si="16"/>
        <v>2024</v>
      </c>
      <c r="J127" s="55" t="str">
        <f t="shared" ca="1" si="20"/>
        <v/>
      </c>
      <c r="K127" s="55"/>
      <c r="L127" s="55" t="str">
        <f t="shared" ca="1" si="10"/>
        <v/>
      </c>
      <c r="M127" s="55">
        <f t="shared" ca="1" si="19"/>
        <v>112194</v>
      </c>
      <c r="N127" s="55">
        <f t="shared" ca="1" si="11"/>
        <v>112194</v>
      </c>
    </row>
    <row r="128" spans="1:14" x14ac:dyDescent="0.2">
      <c r="A128" s="105">
        <v>127</v>
      </c>
      <c r="B128" s="105" t="str">
        <f>VLOOKUP( $A128, Aop!$A$2:$P$453, 2, 0)</f>
        <v>BSp</v>
      </c>
      <c r="C128" s="105">
        <v>26</v>
      </c>
      <c r="D128" s="105" t="str">
        <f t="shared" si="12"/>
        <v>01814788</v>
      </c>
      <c r="E128" s="105" t="str">
        <f t="shared" si="13"/>
        <v>4400570050004</v>
      </c>
      <c r="F128" s="105" t="b">
        <f t="shared" si="14"/>
        <v>1</v>
      </c>
      <c r="G128" s="139">
        <f t="shared" si="15"/>
        <v>45565</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1</v>
      </c>
      <c r="G129" s="139">
        <f t="shared" si="15"/>
        <v>45565</v>
      </c>
      <c r="H129" s="105">
        <f>VLOOKUP( $A129, Aop!$A$2:$P$453, 4, 0)</f>
        <v>161</v>
      </c>
      <c r="I129" s="105">
        <f t="shared" si="16"/>
        <v>2024</v>
      </c>
      <c r="J129" s="55" t="str">
        <f t="shared" ca="1" si="20"/>
        <v/>
      </c>
      <c r="K129" s="55"/>
      <c r="L129" s="55" t="str">
        <f t="shared" ca="1" si="10"/>
        <v/>
      </c>
      <c r="M129" s="55">
        <f t="shared" ca="1" si="19"/>
        <v>425605</v>
      </c>
      <c r="N129" s="55">
        <f t="shared" ca="1" si="11"/>
        <v>425605</v>
      </c>
    </row>
    <row r="130" spans="1:14" x14ac:dyDescent="0.2">
      <c r="A130" s="105">
        <v>129</v>
      </c>
      <c r="B130" s="55" t="str">
        <f>VLOOKUP( $A130, Aop!$A$2:$P$453, 2, 0)</f>
        <v>BSp</v>
      </c>
      <c r="C130" s="105">
        <v>26</v>
      </c>
      <c r="D130" s="55" t="str">
        <f>Podatak_MB</f>
        <v>01814788</v>
      </c>
      <c r="E130" s="55" t="str">
        <f>Podatak_JIB</f>
        <v>4400570050004</v>
      </c>
      <c r="F130" s="55" t="b">
        <f>Konsolidovan_izvjestaj</f>
        <v>1</v>
      </c>
      <c r="G130" s="139">
        <f>Datum_Broj</f>
        <v>45565</v>
      </c>
      <c r="H130" s="55">
        <f>VLOOKUP( $A130, Aop!$A$2:$P$453, 4, 0)</f>
        <v>162</v>
      </c>
      <c r="I130" s="55">
        <f>Godina</f>
        <v>2024</v>
      </c>
      <c r="J130" s="55" t="str">
        <f t="shared" ca="1" si="20"/>
        <v/>
      </c>
      <c r="K130" s="55"/>
      <c r="L130" s="55" t="str">
        <f t="shared" ca="1" si="10"/>
        <v/>
      </c>
      <c r="M130" s="55">
        <f t="shared" ca="1" si="19"/>
        <v>1204425</v>
      </c>
      <c r="N130" s="55">
        <f t="shared" ref="N130:N193" ca="1" si="21">IF( VLOOKUP( $H130, INDIRECT( "Lookup_" &amp; $B130), IF( LEFT( $B130, 2) = "BS", S$2, S$1), 0) = "", "", VLOOKUP( $H130, INDIRECT( "Lookup_" &amp; $B130), IF( LEFT( $B130, 2) = "BS", S$2, S$1), 0))</f>
        <v>1204425</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1</v>
      </c>
      <c r="G131" s="139">
        <f t="shared" si="15"/>
        <v>45565</v>
      </c>
      <c r="H131" s="105">
        <f>VLOOKUP( $A131, Aop!$A$2:$P$453, 4, 0)</f>
        <v>163</v>
      </c>
      <c r="I131" s="55">
        <f t="shared" ref="I131:I190" si="24">Godina</f>
        <v>2024</v>
      </c>
      <c r="J131" s="55" t="str">
        <f t="shared" ca="1" si="20"/>
        <v/>
      </c>
      <c r="K131" s="55"/>
      <c r="L131" s="55" t="str">
        <f t="shared" ca="1" si="10"/>
        <v/>
      </c>
      <c r="M131" s="55">
        <f t="shared" ca="1" si="19"/>
        <v>93373</v>
      </c>
      <c r="N131" s="55">
        <f t="shared" ca="1" si="21"/>
        <v>93373</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1</v>
      </c>
      <c r="G132" s="139">
        <f t="shared" ref="G132:G191" si="26">Datum_Broj</f>
        <v>45565</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92235</v>
      </c>
      <c r="N132" s="55">
        <f t="shared" ca="1" si="21"/>
        <v>92235</v>
      </c>
    </row>
    <row r="133" spans="1:14" x14ac:dyDescent="0.2">
      <c r="A133" s="105">
        <v>132</v>
      </c>
      <c r="B133" s="105" t="str">
        <f>VLOOKUP( $A133, Aop!$A$2:$P$453, 2, 0)</f>
        <v>BSp</v>
      </c>
      <c r="C133" s="105">
        <v>26</v>
      </c>
      <c r="D133" s="55" t="str">
        <f t="shared" si="22"/>
        <v>01814788</v>
      </c>
      <c r="E133" s="55" t="str">
        <f t="shared" si="23"/>
        <v>4400570050004</v>
      </c>
      <c r="F133" s="55" t="b">
        <f t="shared" si="25"/>
        <v>1</v>
      </c>
      <c r="G133" s="139">
        <f t="shared" si="26"/>
        <v>45565</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24412</v>
      </c>
      <c r="N133" s="55">
        <f t="shared" ca="1" si="21"/>
        <v>24412</v>
      </c>
    </row>
    <row r="134" spans="1:14" x14ac:dyDescent="0.2">
      <c r="A134" s="105">
        <v>133</v>
      </c>
      <c r="B134" s="105" t="str">
        <f>VLOOKUP( $A134, Aop!$A$2:$P$453, 2, 0)</f>
        <v>BSp</v>
      </c>
      <c r="C134" s="105">
        <v>26</v>
      </c>
      <c r="D134" s="55" t="str">
        <f t="shared" si="22"/>
        <v>01814788</v>
      </c>
      <c r="E134" s="55" t="str">
        <f t="shared" si="23"/>
        <v>4400570050004</v>
      </c>
      <c r="F134" s="55" t="b">
        <f t="shared" si="25"/>
        <v>1</v>
      </c>
      <c r="G134" s="139">
        <f t="shared" si="26"/>
        <v>45565</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1</v>
      </c>
      <c r="G135" s="139">
        <f t="shared" si="26"/>
        <v>45565</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958242</v>
      </c>
      <c r="N135" s="55">
        <f t="shared" ca="1" si="21"/>
        <v>958242</v>
      </c>
    </row>
    <row r="136" spans="1:14" x14ac:dyDescent="0.2">
      <c r="A136" s="105">
        <v>136</v>
      </c>
      <c r="B136" s="105" t="str">
        <f>VLOOKUP( $A136, Aop!$A$2:$P$453, 2, 0)</f>
        <v>BSp</v>
      </c>
      <c r="C136" s="105">
        <v>26</v>
      </c>
      <c r="D136" s="55" t="str">
        <f t="shared" si="22"/>
        <v>01814788</v>
      </c>
      <c r="E136" s="55" t="str">
        <f t="shared" si="23"/>
        <v>4400570050004</v>
      </c>
      <c r="F136" s="55" t="b">
        <f t="shared" si="25"/>
        <v>1</v>
      </c>
      <c r="G136" s="139">
        <f t="shared" si="26"/>
        <v>45565</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1</v>
      </c>
      <c r="G137" s="139">
        <f t="shared" si="26"/>
        <v>45565</v>
      </c>
      <c r="H137" s="105">
        <f>VLOOKUP( $A137, Aop!$A$2:$P$453, 4, 0)</f>
        <v>169</v>
      </c>
      <c r="I137" s="55">
        <f t="shared" si="24"/>
        <v>2024</v>
      </c>
      <c r="J137" s="55" t="str">
        <f t="shared" ca="1" si="28"/>
        <v/>
      </c>
      <c r="K137" s="55"/>
      <c r="L137" s="55"/>
      <c r="M137" s="55">
        <f t="shared" ca="1" si="27"/>
        <v>158964752</v>
      </c>
      <c r="N137" s="55">
        <f t="shared" ca="1" si="21"/>
        <v>158964752</v>
      </c>
    </row>
    <row r="138" spans="1:14" x14ac:dyDescent="0.2">
      <c r="A138" s="105">
        <v>138</v>
      </c>
      <c r="B138" s="105" t="str">
        <f>VLOOKUP( $A138, Aop!$A$2:$P$453, 2, 0)</f>
        <v>BSp</v>
      </c>
      <c r="C138" s="105">
        <v>27</v>
      </c>
      <c r="D138" s="55" t="str">
        <f t="shared" si="22"/>
        <v>01814788</v>
      </c>
      <c r="E138" s="55" t="str">
        <f t="shared" si="23"/>
        <v>4400570050004</v>
      </c>
      <c r="F138" s="55" t="b">
        <f t="shared" si="25"/>
        <v>1</v>
      </c>
      <c r="G138" s="139">
        <f t="shared" si="26"/>
        <v>45565</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44319271</v>
      </c>
      <c r="N138" s="55">
        <f t="shared" ca="1" si="21"/>
        <v>44319271</v>
      </c>
    </row>
    <row r="139" spans="1:14" x14ac:dyDescent="0.2">
      <c r="A139" s="105">
        <v>139</v>
      </c>
      <c r="B139" s="105" t="str">
        <f>VLOOKUP( $A139, Aop!$A$2:$P$453, 2, 0)</f>
        <v>BUa</v>
      </c>
      <c r="C139" s="55">
        <v>27</v>
      </c>
      <c r="D139" s="55" t="str">
        <f t="shared" si="22"/>
        <v>01814788</v>
      </c>
      <c r="E139" s="55" t="str">
        <f t="shared" si="23"/>
        <v>4400570050004</v>
      </c>
      <c r="F139" s="55" t="b">
        <f t="shared" si="25"/>
        <v>1</v>
      </c>
      <c r="G139" s="139">
        <f t="shared" si="26"/>
        <v>45565</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29597361</v>
      </c>
      <c r="N139" s="55">
        <f t="shared" ca="1" si="21"/>
        <v>29597361</v>
      </c>
    </row>
    <row r="140" spans="1:14" x14ac:dyDescent="0.2">
      <c r="A140" s="105">
        <v>140</v>
      </c>
      <c r="B140" s="105" t="str">
        <f>VLOOKUP( $A140, Aop!$A$2:$P$453, 2, 0)</f>
        <v>BUa</v>
      </c>
      <c r="C140" s="55">
        <v>27</v>
      </c>
      <c r="D140" s="55" t="str">
        <f t="shared" si="22"/>
        <v>01814788</v>
      </c>
      <c r="E140" s="55" t="str">
        <f t="shared" si="23"/>
        <v>4400570050004</v>
      </c>
      <c r="F140" s="55" t="b">
        <f t="shared" si="25"/>
        <v>1</v>
      </c>
      <c r="G140" s="139">
        <f t="shared" si="26"/>
        <v>45565</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12233</v>
      </c>
      <c r="N140" s="55">
        <f t="shared" ca="1" si="21"/>
        <v>12233</v>
      </c>
    </row>
    <row r="141" spans="1:14" x14ac:dyDescent="0.2">
      <c r="A141" s="105">
        <v>141</v>
      </c>
      <c r="B141" s="105" t="str">
        <f>VLOOKUP( $A141, Aop!$A$2:$P$453, 2, 0)</f>
        <v>BUa</v>
      </c>
      <c r="C141" s="55">
        <v>27</v>
      </c>
      <c r="D141" s="55" t="str">
        <f t="shared" si="22"/>
        <v>01814788</v>
      </c>
      <c r="E141" s="55" t="str">
        <f t="shared" si="23"/>
        <v>4400570050004</v>
      </c>
      <c r="F141" s="55" t="b">
        <f t="shared" si="25"/>
        <v>1</v>
      </c>
      <c r="G141" s="139">
        <f t="shared" si="26"/>
        <v>45565</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1</v>
      </c>
      <c r="G142" s="139">
        <f t="shared" si="26"/>
        <v>45565</v>
      </c>
      <c r="H142" s="105">
        <f>VLOOKUP( $A142, Aop!$A$2:$P$453, 4, 0)</f>
        <v>204</v>
      </c>
      <c r="I142" s="55">
        <f t="shared" si="24"/>
        <v>2024</v>
      </c>
      <c r="J142" s="55" t="str">
        <f t="shared" ca="1" si="30"/>
        <v/>
      </c>
      <c r="K142" s="55"/>
      <c r="L142" s="55"/>
      <c r="M142" s="55">
        <f t="shared" ca="1" si="29"/>
        <v>12233</v>
      </c>
      <c r="N142" s="55">
        <f t="shared" ca="1" si="21"/>
        <v>12233</v>
      </c>
    </row>
    <row r="143" spans="1:14" x14ac:dyDescent="0.2">
      <c r="A143" s="105">
        <v>143</v>
      </c>
      <c r="B143" s="105" t="str">
        <f>VLOOKUP( $A143, Aop!$A$2:$P$453, 2, 0)</f>
        <v>BUa</v>
      </c>
      <c r="C143" s="55">
        <v>27</v>
      </c>
      <c r="D143" s="55" t="str">
        <f t="shared" si="22"/>
        <v>01814788</v>
      </c>
      <c r="E143" s="55" t="str">
        <f t="shared" si="23"/>
        <v>4400570050004</v>
      </c>
      <c r="F143" s="55" t="b">
        <f t="shared" si="25"/>
        <v>1</v>
      </c>
      <c r="G143" s="139">
        <f t="shared" si="26"/>
        <v>45565</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1</v>
      </c>
      <c r="G144" s="139">
        <f t="shared" si="26"/>
        <v>45565</v>
      </c>
      <c r="H144" s="105">
        <f>VLOOKUP( $A144, Aop!$A$2:$P$453, 4, 0)</f>
        <v>206</v>
      </c>
      <c r="I144" s="55">
        <f t="shared" si="24"/>
        <v>2024</v>
      </c>
      <c r="J144" s="55" t="str">
        <f t="shared" ca="1" si="30"/>
        <v/>
      </c>
      <c r="K144" s="55"/>
      <c r="L144" s="55"/>
      <c r="M144" s="55">
        <f t="shared" ca="1" si="29"/>
        <v>3142249</v>
      </c>
      <c r="N144" s="55">
        <f t="shared" ca="1" si="21"/>
        <v>3142249</v>
      </c>
    </row>
    <row r="145" spans="1:14" x14ac:dyDescent="0.2">
      <c r="A145" s="105">
        <v>145</v>
      </c>
      <c r="B145" s="105" t="str">
        <f>VLOOKUP( $A145, Aop!$A$2:$P$453, 2, 0)</f>
        <v>BUa</v>
      </c>
      <c r="C145" s="55">
        <v>27</v>
      </c>
      <c r="D145" s="55" t="str">
        <f t="shared" si="22"/>
        <v>01814788</v>
      </c>
      <c r="E145" s="55" t="str">
        <f t="shared" si="23"/>
        <v>4400570050004</v>
      </c>
      <c r="F145" s="55" t="b">
        <f t="shared" si="25"/>
        <v>1</v>
      </c>
      <c r="G145" s="139">
        <f t="shared" si="26"/>
        <v>45565</v>
      </c>
      <c r="H145" s="105">
        <f>VLOOKUP( $A145, Aop!$A$2:$P$453, 4, 0)</f>
        <v>207</v>
      </c>
      <c r="I145" s="55">
        <f t="shared" si="24"/>
        <v>2024</v>
      </c>
      <c r="J145" s="55" t="str">
        <f t="shared" ca="1" si="30"/>
        <v/>
      </c>
      <c r="K145" s="55"/>
      <c r="L145" s="55"/>
      <c r="M145" s="55">
        <f t="shared" ca="1" si="29"/>
        <v>3142249</v>
      </c>
      <c r="N145" s="55">
        <f t="shared" ca="1" si="21"/>
        <v>3142249</v>
      </c>
    </row>
    <row r="146" spans="1:14" x14ac:dyDescent="0.2">
      <c r="A146" s="105">
        <v>146</v>
      </c>
      <c r="B146" s="105" t="str">
        <f>VLOOKUP( $A146, Aop!$A$2:$P$453, 2, 0)</f>
        <v>BUa</v>
      </c>
      <c r="C146" s="55">
        <v>27</v>
      </c>
      <c r="D146" s="55" t="str">
        <f t="shared" si="22"/>
        <v>01814788</v>
      </c>
      <c r="E146" s="55" t="str">
        <f t="shared" si="23"/>
        <v>4400570050004</v>
      </c>
      <c r="F146" s="55" t="b">
        <f t="shared" si="25"/>
        <v>1</v>
      </c>
      <c r="G146" s="139">
        <f t="shared" si="26"/>
        <v>45565</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1</v>
      </c>
      <c r="G147" s="139">
        <f t="shared" si="26"/>
        <v>45565</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1</v>
      </c>
      <c r="G148" s="139">
        <f t="shared" si="26"/>
        <v>45565</v>
      </c>
      <c r="H148" s="105">
        <f>VLOOKUP( $A148, Aop!$A$2:$P$453, 4, 0)</f>
        <v>210</v>
      </c>
      <c r="I148" s="55">
        <f t="shared" si="24"/>
        <v>2024</v>
      </c>
      <c r="J148" s="55" t="str">
        <f t="shared" ca="1" si="30"/>
        <v/>
      </c>
      <c r="K148" s="55"/>
      <c r="L148" s="55"/>
      <c r="M148" s="55">
        <f t="shared" ca="1" si="29"/>
        <v>24978663</v>
      </c>
      <c r="N148" s="55">
        <f t="shared" ca="1" si="21"/>
        <v>24978663</v>
      </c>
    </row>
    <row r="149" spans="1:14" x14ac:dyDescent="0.2">
      <c r="A149" s="105">
        <v>149</v>
      </c>
      <c r="B149" s="105" t="str">
        <f>VLOOKUP( $A149, Aop!$A$2:$P$453, 2, 0)</f>
        <v>BUa</v>
      </c>
      <c r="C149" s="55">
        <v>27</v>
      </c>
      <c r="D149" s="55" t="str">
        <f t="shared" si="22"/>
        <v>01814788</v>
      </c>
      <c r="E149" s="55" t="str">
        <f t="shared" si="23"/>
        <v>4400570050004</v>
      </c>
      <c r="F149" s="55" t="b">
        <f t="shared" si="25"/>
        <v>1</v>
      </c>
      <c r="G149" s="139">
        <f t="shared" si="26"/>
        <v>45565</v>
      </c>
      <c r="H149" s="105">
        <f>VLOOKUP( $A149, Aop!$A$2:$P$453, 4, 0)</f>
        <v>211</v>
      </c>
      <c r="I149" s="55">
        <f t="shared" si="24"/>
        <v>2024</v>
      </c>
      <c r="J149" s="55" t="str">
        <f t="shared" ca="1" si="30"/>
        <v/>
      </c>
      <c r="K149" s="55"/>
      <c r="L149" s="55"/>
      <c r="M149" s="55">
        <f t="shared" ca="1" si="29"/>
        <v>23844357</v>
      </c>
      <c r="N149" s="55">
        <f t="shared" ca="1" si="21"/>
        <v>23844357</v>
      </c>
    </row>
    <row r="150" spans="1:14" x14ac:dyDescent="0.2">
      <c r="A150" s="105">
        <v>150</v>
      </c>
      <c r="B150" s="105" t="str">
        <f>VLOOKUP( $A150, Aop!$A$2:$P$453, 2, 0)</f>
        <v>BUa</v>
      </c>
      <c r="C150" s="55">
        <v>27</v>
      </c>
      <c r="D150" s="55" t="str">
        <f t="shared" si="22"/>
        <v>01814788</v>
      </c>
      <c r="E150" s="55" t="str">
        <f t="shared" si="23"/>
        <v>4400570050004</v>
      </c>
      <c r="F150" s="55" t="b">
        <f t="shared" si="25"/>
        <v>1</v>
      </c>
      <c r="G150" s="139">
        <f t="shared" si="26"/>
        <v>45565</v>
      </c>
      <c r="H150" s="105">
        <f>VLOOKUP( $A150, Aop!$A$2:$P$453, 4, 0)</f>
        <v>212</v>
      </c>
      <c r="I150" s="55">
        <f t="shared" si="24"/>
        <v>2024</v>
      </c>
      <c r="J150" s="55" t="str">
        <f t="shared" ca="1" si="30"/>
        <v/>
      </c>
      <c r="K150" s="55"/>
      <c r="L150" s="55"/>
      <c r="M150" s="55">
        <f t="shared" ca="1" si="29"/>
        <v>1134306</v>
      </c>
      <c r="N150" s="55">
        <f t="shared" ca="1" si="21"/>
        <v>1134306</v>
      </c>
    </row>
    <row r="151" spans="1:14" x14ac:dyDescent="0.2">
      <c r="A151" s="105">
        <v>151</v>
      </c>
      <c r="B151" s="105" t="str">
        <f>VLOOKUP( $A151, Aop!$A$2:$P$453, 2, 0)</f>
        <v>BUa</v>
      </c>
      <c r="C151" s="55">
        <v>27</v>
      </c>
      <c r="D151" s="55" t="str">
        <f t="shared" si="22"/>
        <v>01814788</v>
      </c>
      <c r="E151" s="55" t="str">
        <f t="shared" si="23"/>
        <v>4400570050004</v>
      </c>
      <c r="F151" s="55" t="b">
        <f t="shared" si="25"/>
        <v>1</v>
      </c>
      <c r="G151" s="139">
        <f t="shared" si="26"/>
        <v>45565</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1</v>
      </c>
      <c r="G152" s="139">
        <f t="shared" si="26"/>
        <v>45565</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1</v>
      </c>
      <c r="G153" s="139">
        <f t="shared" si="26"/>
        <v>45565</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1</v>
      </c>
      <c r="G154" s="139">
        <f t="shared" si="26"/>
        <v>45565</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1</v>
      </c>
      <c r="G155" s="139">
        <f t="shared" si="26"/>
        <v>45565</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1</v>
      </c>
      <c r="G156" s="139">
        <f t="shared" si="26"/>
        <v>45565</v>
      </c>
      <c r="H156" s="105">
        <f>VLOOKUP( $A156, Aop!$A$2:$P$453, 4, 0)</f>
        <v>218</v>
      </c>
      <c r="I156" s="55">
        <f t="shared" si="24"/>
        <v>2024</v>
      </c>
      <c r="J156" s="55" t="str">
        <f t="shared" ca="1" si="30"/>
        <v/>
      </c>
      <c r="K156" s="55"/>
      <c r="L156" s="55"/>
      <c r="M156" s="55">
        <f t="shared" ca="1" si="29"/>
        <v>1464216</v>
      </c>
      <c r="N156" s="55">
        <f t="shared" ca="1" si="21"/>
        <v>1464216</v>
      </c>
    </row>
    <row r="157" spans="1:14" x14ac:dyDescent="0.2">
      <c r="A157" s="105">
        <v>157</v>
      </c>
      <c r="B157" s="105" t="str">
        <f>VLOOKUP( $A157, Aop!$A$2:$P$453, 2, 0)</f>
        <v>BUa</v>
      </c>
      <c r="C157" s="55">
        <v>27</v>
      </c>
      <c r="D157" s="55" t="str">
        <f t="shared" si="22"/>
        <v>01814788</v>
      </c>
      <c r="E157" s="55" t="str">
        <f t="shared" si="23"/>
        <v>4400570050004</v>
      </c>
      <c r="F157" s="55" t="b">
        <f t="shared" si="25"/>
        <v>1</v>
      </c>
      <c r="G157" s="139">
        <f t="shared" si="26"/>
        <v>45565</v>
      </c>
      <c r="H157" s="105">
        <f>VLOOKUP( $A157, Aop!$A$2:$P$453, 4, 0)</f>
        <v>219</v>
      </c>
      <c r="I157" s="55">
        <f t="shared" si="24"/>
        <v>2024</v>
      </c>
      <c r="J157" s="55" t="str">
        <f t="shared" ca="1" si="30"/>
        <v/>
      </c>
      <c r="K157" s="55"/>
      <c r="L157" s="55"/>
      <c r="M157" s="55">
        <f t="shared" ca="1" si="29"/>
        <v>28841715</v>
      </c>
      <c r="N157" s="55">
        <f t="shared" ca="1" si="21"/>
        <v>28841715</v>
      </c>
    </row>
    <row r="158" spans="1:14" x14ac:dyDescent="0.2">
      <c r="A158" s="105">
        <v>158</v>
      </c>
      <c r="B158" s="105" t="str">
        <f>VLOOKUP( $A158, Aop!$A$2:$P$453, 2, 0)</f>
        <v>BUa</v>
      </c>
      <c r="C158" s="55">
        <v>27</v>
      </c>
      <c r="D158" s="55" t="str">
        <f t="shared" si="22"/>
        <v>01814788</v>
      </c>
      <c r="E158" s="55" t="str">
        <f t="shared" si="23"/>
        <v>4400570050004</v>
      </c>
      <c r="F158" s="55" t="b">
        <f t="shared" si="25"/>
        <v>1</v>
      </c>
      <c r="G158" s="139">
        <f t="shared" si="26"/>
        <v>45565</v>
      </c>
      <c r="H158" s="105">
        <f>VLOOKUP( $A158, Aop!$A$2:$P$453, 4, 0)</f>
        <v>220</v>
      </c>
      <c r="I158" s="55">
        <f t="shared" si="24"/>
        <v>2024</v>
      </c>
      <c r="J158" s="55" t="str">
        <f t="shared" ca="1" si="30"/>
        <v/>
      </c>
      <c r="K158" s="55"/>
      <c r="L158" s="55"/>
      <c r="M158" s="55">
        <f t="shared" ca="1" si="29"/>
        <v>6382879</v>
      </c>
      <c r="N158" s="55">
        <f t="shared" ca="1" si="21"/>
        <v>6382879</v>
      </c>
    </row>
    <row r="159" spans="1:14" x14ac:dyDescent="0.2">
      <c r="A159" s="105">
        <v>159</v>
      </c>
      <c r="B159" s="55" t="str">
        <f>VLOOKUP( $A159, Aop!$A$2:$P$453, 2, 0)</f>
        <v>BUa</v>
      </c>
      <c r="C159" s="55">
        <v>27</v>
      </c>
      <c r="D159" s="55" t="str">
        <f>Podatak_MB</f>
        <v>01814788</v>
      </c>
      <c r="E159" s="55" t="str">
        <f>Podatak_JIB</f>
        <v>4400570050004</v>
      </c>
      <c r="F159" s="55" t="b">
        <f>Konsolidovan_izvjestaj</f>
        <v>1</v>
      </c>
      <c r="G159" s="139">
        <f>Datum_Broj</f>
        <v>45565</v>
      </c>
      <c r="H159" s="55">
        <f>VLOOKUP( $A159, Aop!$A$2:$P$453, 4, 0)</f>
        <v>221</v>
      </c>
      <c r="I159" s="55">
        <f>Godina</f>
        <v>2024</v>
      </c>
      <c r="J159" s="55" t="str">
        <f t="shared" ca="1" si="30"/>
        <v/>
      </c>
      <c r="K159" s="55"/>
      <c r="L159" s="55"/>
      <c r="M159" s="55">
        <f t="shared" ca="1" si="29"/>
        <v>434567</v>
      </c>
      <c r="N159" s="55">
        <f t="shared" ca="1" si="21"/>
        <v>434567</v>
      </c>
    </row>
    <row r="160" spans="1:14" x14ac:dyDescent="0.2">
      <c r="A160" s="105">
        <v>160</v>
      </c>
      <c r="B160" s="105" t="str">
        <f>VLOOKUP( $A160, Aop!$A$2:$P$453, 2, 0)</f>
        <v>BUa</v>
      </c>
      <c r="C160" s="55">
        <v>27</v>
      </c>
      <c r="D160" s="55" t="str">
        <f t="shared" si="22"/>
        <v>01814788</v>
      </c>
      <c r="E160" s="55" t="str">
        <f t="shared" si="23"/>
        <v>4400570050004</v>
      </c>
      <c r="F160" s="55" t="b">
        <f t="shared" si="25"/>
        <v>1</v>
      </c>
      <c r="G160" s="139">
        <f t="shared" si="26"/>
        <v>45565</v>
      </c>
      <c r="H160" s="105">
        <f>VLOOKUP( $A160, Aop!$A$2:$P$453, 4, 0)</f>
        <v>222</v>
      </c>
      <c r="I160" s="55">
        <f t="shared" si="24"/>
        <v>2024</v>
      </c>
      <c r="J160" s="55" t="str">
        <f t="shared" ca="1" si="30"/>
        <v/>
      </c>
      <c r="K160" s="55"/>
      <c r="L160" s="55"/>
      <c r="M160" s="55">
        <f t="shared" ca="1" si="29"/>
        <v>477526</v>
      </c>
      <c r="N160" s="55">
        <f t="shared" ca="1" si="21"/>
        <v>477526</v>
      </c>
    </row>
    <row r="161" spans="1:14" x14ac:dyDescent="0.2">
      <c r="A161" s="105">
        <v>161</v>
      </c>
      <c r="B161" s="105" t="str">
        <f>VLOOKUP( $A161, Aop!$A$2:$P$453, 2, 0)</f>
        <v>BUa</v>
      </c>
      <c r="C161" s="55">
        <v>27</v>
      </c>
      <c r="D161" s="55" t="str">
        <f t="shared" si="22"/>
        <v>01814788</v>
      </c>
      <c r="E161" s="55" t="str">
        <f t="shared" si="23"/>
        <v>4400570050004</v>
      </c>
      <c r="F161" s="55" t="b">
        <f t="shared" si="25"/>
        <v>1</v>
      </c>
      <c r="G161" s="139">
        <f t="shared" si="26"/>
        <v>45565</v>
      </c>
      <c r="H161" s="105">
        <f>VLOOKUP( $A161, Aop!$A$2:$P$453, 4, 0)</f>
        <v>223</v>
      </c>
      <c r="I161" s="55">
        <f t="shared" si="24"/>
        <v>2024</v>
      </c>
      <c r="J161" s="55" t="str">
        <f t="shared" ca="1" si="30"/>
        <v/>
      </c>
      <c r="K161" s="55"/>
      <c r="L161" s="55"/>
      <c r="M161" s="55">
        <f t="shared" ca="1" si="29"/>
        <v>12051813</v>
      </c>
      <c r="N161" s="55">
        <f t="shared" ca="1" si="21"/>
        <v>12051813</v>
      </c>
    </row>
    <row r="162" spans="1:14" x14ac:dyDescent="0.2">
      <c r="A162" s="105">
        <v>162</v>
      </c>
      <c r="B162" s="105" t="str">
        <f>VLOOKUP( $A162, Aop!$A$2:$P$453, 2, 0)</f>
        <v>BUa</v>
      </c>
      <c r="C162" s="55">
        <v>27</v>
      </c>
      <c r="D162" s="55" t="str">
        <f t="shared" si="22"/>
        <v>01814788</v>
      </c>
      <c r="E162" s="55" t="str">
        <f t="shared" si="23"/>
        <v>4400570050004</v>
      </c>
      <c r="F162" s="55" t="b">
        <f t="shared" si="25"/>
        <v>1</v>
      </c>
      <c r="G162" s="139">
        <f t="shared" si="26"/>
        <v>45565</v>
      </c>
      <c r="H162" s="105">
        <f>VLOOKUP( $A162, Aop!$A$2:$P$453, 4, 0)</f>
        <v>224</v>
      </c>
      <c r="I162" s="55">
        <f t="shared" si="24"/>
        <v>2024</v>
      </c>
      <c r="J162" s="55" t="str">
        <f t="shared" ca="1" si="30"/>
        <v/>
      </c>
      <c r="K162" s="55"/>
      <c r="L162" s="55"/>
      <c r="M162" s="55">
        <f t="shared" ca="1" si="29"/>
        <v>9596588</v>
      </c>
      <c r="N162" s="55">
        <f t="shared" ca="1" si="21"/>
        <v>9596588</v>
      </c>
    </row>
    <row r="163" spans="1:14" x14ac:dyDescent="0.2">
      <c r="A163" s="105">
        <v>163</v>
      </c>
      <c r="B163" s="105" t="str">
        <f>VLOOKUP( $A163, Aop!$A$2:$P$453, 2, 0)</f>
        <v>BUa</v>
      </c>
      <c r="C163" s="55">
        <v>27</v>
      </c>
      <c r="D163" s="55" t="str">
        <f t="shared" si="22"/>
        <v>01814788</v>
      </c>
      <c r="E163" s="55" t="str">
        <f t="shared" si="23"/>
        <v>4400570050004</v>
      </c>
      <c r="F163" s="55" t="b">
        <f t="shared" si="25"/>
        <v>1</v>
      </c>
      <c r="G163" s="139">
        <f t="shared" si="26"/>
        <v>45565</v>
      </c>
      <c r="H163" s="105">
        <f>VLOOKUP( $A163, Aop!$A$2:$P$453, 4, 0)</f>
        <v>225</v>
      </c>
      <c r="I163" s="55">
        <f t="shared" si="24"/>
        <v>2024</v>
      </c>
      <c r="J163" s="55" t="str">
        <f t="shared" ca="1" si="30"/>
        <v/>
      </c>
      <c r="K163" s="55"/>
      <c r="L163" s="55"/>
      <c r="M163" s="55">
        <f t="shared" ca="1" si="29"/>
        <v>2455225</v>
      </c>
      <c r="N163" s="55">
        <f t="shared" ca="1" si="21"/>
        <v>2455225</v>
      </c>
    </row>
    <row r="164" spans="1:14" x14ac:dyDescent="0.2">
      <c r="A164" s="105">
        <v>164</v>
      </c>
      <c r="B164" s="105" t="str">
        <f>VLOOKUP( $A164, Aop!$A$2:$P$453, 2, 0)</f>
        <v>BUa</v>
      </c>
      <c r="C164" s="55">
        <v>27</v>
      </c>
      <c r="D164" s="55" t="str">
        <f t="shared" si="22"/>
        <v>01814788</v>
      </c>
      <c r="E164" s="55" t="str">
        <f t="shared" si="23"/>
        <v>4400570050004</v>
      </c>
      <c r="F164" s="55" t="b">
        <f t="shared" si="25"/>
        <v>1</v>
      </c>
      <c r="G164" s="139">
        <f t="shared" si="26"/>
        <v>45565</v>
      </c>
      <c r="H164" s="105">
        <f>VLOOKUP( $A164, Aop!$A$2:$P$453, 4, 0)</f>
        <v>226</v>
      </c>
      <c r="I164" s="55">
        <f t="shared" si="24"/>
        <v>2024</v>
      </c>
      <c r="J164" s="55" t="str">
        <f t="shared" ca="1" si="30"/>
        <v/>
      </c>
      <c r="K164" s="55"/>
      <c r="L164" s="55"/>
      <c r="M164" s="55">
        <f t="shared" ca="1" si="29"/>
        <v>1125390</v>
      </c>
      <c r="N164" s="55">
        <f t="shared" ca="1" si="21"/>
        <v>1125390</v>
      </c>
    </row>
    <row r="165" spans="1:14" x14ac:dyDescent="0.2">
      <c r="A165" s="105">
        <v>165</v>
      </c>
      <c r="B165" s="105" t="str">
        <f>VLOOKUP( $A165, Aop!$A$2:$P$453, 2, 0)</f>
        <v>BUa</v>
      </c>
      <c r="C165" s="55">
        <v>27</v>
      </c>
      <c r="D165" s="55" t="str">
        <f t="shared" si="22"/>
        <v>01814788</v>
      </c>
      <c r="E165" s="55" t="str">
        <f t="shared" si="23"/>
        <v>4400570050004</v>
      </c>
      <c r="F165" s="55" t="b">
        <f t="shared" si="25"/>
        <v>1</v>
      </c>
      <c r="G165" s="139">
        <f t="shared" si="26"/>
        <v>45565</v>
      </c>
      <c r="H165" s="105">
        <f>VLOOKUP( $A165, Aop!$A$2:$P$453, 4, 0)</f>
        <v>227</v>
      </c>
      <c r="I165" s="55">
        <f t="shared" si="24"/>
        <v>2024</v>
      </c>
      <c r="J165" s="55" t="str">
        <f t="shared" ca="1" si="30"/>
        <v/>
      </c>
      <c r="K165" s="55"/>
      <c r="L165" s="55"/>
      <c r="M165" s="55">
        <f t="shared" ca="1" si="29"/>
        <v>5102202</v>
      </c>
      <c r="N165" s="55">
        <f t="shared" ca="1" si="21"/>
        <v>5102202</v>
      </c>
    </row>
    <row r="166" spans="1:14" x14ac:dyDescent="0.2">
      <c r="A166" s="105">
        <v>167</v>
      </c>
      <c r="B166" s="105" t="str">
        <f>VLOOKUP( $A166, Aop!$A$2:$P$453, 2, 0)</f>
        <v>BUa</v>
      </c>
      <c r="C166" s="55">
        <v>27</v>
      </c>
      <c r="D166" s="55" t="str">
        <f t="shared" si="22"/>
        <v>01814788</v>
      </c>
      <c r="E166" s="55" t="str">
        <f t="shared" si="23"/>
        <v>4400570050004</v>
      </c>
      <c r="F166" s="55" t="b">
        <f t="shared" si="25"/>
        <v>1</v>
      </c>
      <c r="G166" s="139">
        <f t="shared" si="26"/>
        <v>45565</v>
      </c>
      <c r="H166" s="105">
        <f>VLOOKUP( $A166, Aop!$A$2:$P$453, 4, 0)</f>
        <v>229</v>
      </c>
      <c r="I166" s="55">
        <f t="shared" si="24"/>
        <v>2024</v>
      </c>
      <c r="J166" s="55" t="str">
        <f t="shared" ca="1" si="30"/>
        <v/>
      </c>
      <c r="K166" s="55"/>
      <c r="L166" s="55"/>
      <c r="M166" s="55">
        <f t="shared" ca="1" si="29"/>
        <v>5087125</v>
      </c>
      <c r="N166" s="55">
        <f t="shared" ca="1" si="21"/>
        <v>5087125</v>
      </c>
    </row>
    <row r="167" spans="1:14" x14ac:dyDescent="0.2">
      <c r="A167" s="105">
        <v>168</v>
      </c>
      <c r="B167" s="105" t="str">
        <f>VLOOKUP( $A167, Aop!$A$2:$P$453, 2, 0)</f>
        <v>BUa</v>
      </c>
      <c r="C167" s="55">
        <v>27</v>
      </c>
      <c r="D167" s="55" t="str">
        <f t="shared" si="22"/>
        <v>01814788</v>
      </c>
      <c r="E167" s="55" t="str">
        <f t="shared" si="23"/>
        <v>4400570050004</v>
      </c>
      <c r="F167" s="55" t="b">
        <f t="shared" si="25"/>
        <v>1</v>
      </c>
      <c r="G167" s="139">
        <f t="shared" si="26"/>
        <v>45565</v>
      </c>
      <c r="H167" s="105">
        <f>VLOOKUP( $A167, Aop!$A$2:$P$453, 4, 0)</f>
        <v>230</v>
      </c>
      <c r="I167" s="55">
        <f t="shared" si="24"/>
        <v>2024</v>
      </c>
      <c r="J167" s="55" t="str">
        <f t="shared" ca="1" si="30"/>
        <v/>
      </c>
      <c r="K167" s="55"/>
      <c r="L167" s="55"/>
      <c r="M167" s="55">
        <f t="shared" ca="1" si="29"/>
        <v>0</v>
      </c>
      <c r="N167" s="55">
        <f t="shared" ca="1" si="21"/>
        <v>0</v>
      </c>
    </row>
    <row r="168" spans="1:14" x14ac:dyDescent="0.2">
      <c r="A168" s="105">
        <v>169</v>
      </c>
      <c r="B168" s="105" t="str">
        <f>VLOOKUP( $A168, Aop!$A$2:$P$453, 2, 0)</f>
        <v>BUa</v>
      </c>
      <c r="C168" s="55">
        <v>27</v>
      </c>
      <c r="D168" s="55" t="str">
        <f t="shared" si="22"/>
        <v>01814788</v>
      </c>
      <c r="E168" s="55" t="str">
        <f t="shared" si="23"/>
        <v>4400570050004</v>
      </c>
      <c r="F168" s="55" t="b">
        <f t="shared" si="25"/>
        <v>1</v>
      </c>
      <c r="G168" s="139">
        <f t="shared" si="26"/>
        <v>45565</v>
      </c>
      <c r="H168" s="105">
        <f>VLOOKUP( $A168, Aop!$A$2:$P$453, 4, 0)</f>
        <v>231</v>
      </c>
      <c r="I168" s="55">
        <f t="shared" si="24"/>
        <v>2024</v>
      </c>
      <c r="J168" s="55" t="str">
        <f t="shared" ca="1" si="30"/>
        <v/>
      </c>
      <c r="K168" s="55"/>
      <c r="L168" s="55"/>
      <c r="M168" s="55">
        <f t="shared" ca="1" si="29"/>
        <v>15077</v>
      </c>
      <c r="N168" s="55">
        <f t="shared" ca="1" si="21"/>
        <v>15077</v>
      </c>
    </row>
    <row r="169" spans="1:14" x14ac:dyDescent="0.2">
      <c r="A169" s="105">
        <v>170</v>
      </c>
      <c r="B169" s="105" t="str">
        <f>VLOOKUP( $A169, Aop!$A$2:$P$453, 2, 0)</f>
        <v>BUa</v>
      </c>
      <c r="C169" s="55">
        <v>27</v>
      </c>
      <c r="D169" s="55" t="str">
        <f t="shared" si="22"/>
        <v>01814788</v>
      </c>
      <c r="E169" s="55" t="str">
        <f t="shared" si="23"/>
        <v>4400570050004</v>
      </c>
      <c r="F169" s="55" t="b">
        <f t="shared" si="25"/>
        <v>1</v>
      </c>
      <c r="G169" s="139">
        <f t="shared" si="26"/>
        <v>45565</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1</v>
      </c>
      <c r="G170" s="139">
        <f t="shared" si="26"/>
        <v>45565</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1</v>
      </c>
      <c r="G171" s="139">
        <f t="shared" si="26"/>
        <v>45565</v>
      </c>
      <c r="H171" s="105">
        <f>VLOOKUP( $A171, Aop!$A$2:$P$453, 4, 0)</f>
        <v>234</v>
      </c>
      <c r="I171" s="55">
        <f t="shared" si="24"/>
        <v>2024</v>
      </c>
      <c r="J171" s="55" t="str">
        <f t="shared" ca="1" si="30"/>
        <v/>
      </c>
      <c r="K171" s="55"/>
      <c r="L171" s="55"/>
      <c r="M171" s="55">
        <f t="shared" ca="1" si="29"/>
        <v>2864464</v>
      </c>
      <c r="N171" s="55">
        <f t="shared" ca="1" si="21"/>
        <v>2864464</v>
      </c>
    </row>
    <row r="172" spans="1:14" x14ac:dyDescent="0.2">
      <c r="A172" s="105">
        <v>173</v>
      </c>
      <c r="B172" s="105" t="str">
        <f>VLOOKUP( $A172, Aop!$A$2:$P$453, 2, 0)</f>
        <v>BUa</v>
      </c>
      <c r="C172" s="55">
        <v>27</v>
      </c>
      <c r="D172" s="55" t="str">
        <f t="shared" si="22"/>
        <v>01814788</v>
      </c>
      <c r="E172" s="55" t="str">
        <f t="shared" si="23"/>
        <v>4400570050004</v>
      </c>
      <c r="F172" s="55" t="b">
        <f t="shared" si="25"/>
        <v>1</v>
      </c>
      <c r="G172" s="139">
        <f t="shared" si="26"/>
        <v>45565</v>
      </c>
      <c r="H172" s="105">
        <f>VLOOKUP( $A172, Aop!$A$2:$P$453, 4, 0)</f>
        <v>235</v>
      </c>
      <c r="I172" s="55">
        <f t="shared" si="24"/>
        <v>2024</v>
      </c>
      <c r="J172" s="55" t="str">
        <f t="shared" ca="1" si="30"/>
        <v/>
      </c>
      <c r="K172" s="55"/>
      <c r="L172" s="55"/>
      <c r="M172" s="55">
        <f t="shared" ca="1" si="29"/>
        <v>248968</v>
      </c>
      <c r="N172" s="55">
        <f t="shared" ca="1" si="21"/>
        <v>248968</v>
      </c>
    </row>
    <row r="173" spans="1:14" x14ac:dyDescent="0.2">
      <c r="A173" s="105">
        <v>174</v>
      </c>
      <c r="B173" s="55" t="str">
        <f>VLOOKUP( $A173, Aop!$A$2:$P$453, 2, 0)</f>
        <v>BUa</v>
      </c>
      <c r="C173" s="55">
        <v>27</v>
      </c>
      <c r="D173" s="55" t="str">
        <f>Podatak_MB</f>
        <v>01814788</v>
      </c>
      <c r="E173" s="55" t="str">
        <f>Podatak_JIB</f>
        <v>4400570050004</v>
      </c>
      <c r="F173" s="55" t="b">
        <f>Konsolidovan_izvjestaj</f>
        <v>1</v>
      </c>
      <c r="G173" s="139">
        <f>Datum_Broj</f>
        <v>45565</v>
      </c>
      <c r="H173" s="55">
        <f>VLOOKUP( $A173, Aop!$A$2:$P$453, 4, 0)</f>
        <v>236</v>
      </c>
      <c r="I173" s="55">
        <f>Godina</f>
        <v>2024</v>
      </c>
      <c r="J173" s="55" t="str">
        <f t="shared" ca="1" si="30"/>
        <v/>
      </c>
      <c r="K173" s="55"/>
      <c r="L173" s="55"/>
      <c r="M173" s="55">
        <f t="shared" ca="1" si="29"/>
        <v>153906</v>
      </c>
      <c r="N173" s="55">
        <f t="shared" ca="1" si="21"/>
        <v>153906</v>
      </c>
    </row>
    <row r="174" spans="1:14" x14ac:dyDescent="0.2">
      <c r="A174" s="105">
        <v>175</v>
      </c>
      <c r="B174" s="105" t="str">
        <f>VLOOKUP( $A174, Aop!$A$2:$P$453, 2, 0)</f>
        <v>BUa</v>
      </c>
      <c r="C174" s="55">
        <v>27</v>
      </c>
      <c r="D174" s="55" t="str">
        <f t="shared" si="22"/>
        <v>01814788</v>
      </c>
      <c r="E174" s="55" t="str">
        <f t="shared" si="23"/>
        <v>4400570050004</v>
      </c>
      <c r="F174" s="55" t="b">
        <f t="shared" si="25"/>
        <v>1</v>
      </c>
      <c r="G174" s="139">
        <f t="shared" si="26"/>
        <v>45565</v>
      </c>
      <c r="H174" s="105">
        <f>VLOOKUP( $A174, Aop!$A$2:$P$453, 4, 0)</f>
        <v>237</v>
      </c>
      <c r="I174" s="55">
        <f t="shared" si="24"/>
        <v>2024</v>
      </c>
      <c r="J174" s="55" t="str">
        <f t="shared" ca="1" si="30"/>
        <v/>
      </c>
      <c r="K174" s="55"/>
      <c r="L174" s="55"/>
      <c r="M174" s="55">
        <f t="shared" ca="1" si="29"/>
        <v>755646</v>
      </c>
      <c r="N174" s="55">
        <f t="shared" ca="1" si="21"/>
        <v>755646</v>
      </c>
    </row>
    <row r="175" spans="1:14" x14ac:dyDescent="0.2">
      <c r="A175" s="105">
        <v>176</v>
      </c>
      <c r="B175" s="105" t="str">
        <f>VLOOKUP( $A175, Aop!$A$2:$P$453, 2, 0)</f>
        <v>BUa</v>
      </c>
      <c r="C175" s="55">
        <v>27</v>
      </c>
      <c r="D175" s="55" t="str">
        <f t="shared" si="22"/>
        <v>01814788</v>
      </c>
      <c r="E175" s="55" t="str">
        <f t="shared" si="23"/>
        <v>4400570050004</v>
      </c>
      <c r="F175" s="55" t="b">
        <f t="shared" si="25"/>
        <v>1</v>
      </c>
      <c r="G175" s="139">
        <f t="shared" si="26"/>
        <v>45565</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1</v>
      </c>
      <c r="G176" s="139">
        <f t="shared" si="26"/>
        <v>45565</v>
      </c>
      <c r="H176" s="105">
        <f>VLOOKUP( $A176, Aop!$A$2:$P$453, 4, 0)</f>
        <v>239</v>
      </c>
      <c r="I176" s="55">
        <f t="shared" si="24"/>
        <v>2024</v>
      </c>
      <c r="J176" s="55" t="str">
        <f t="shared" ca="1" si="30"/>
        <v/>
      </c>
      <c r="K176" s="55"/>
      <c r="L176" s="55"/>
      <c r="M176" s="55">
        <f t="shared" ca="1" si="29"/>
        <v>18658</v>
      </c>
      <c r="N176" s="55">
        <f t="shared" ca="1" si="21"/>
        <v>18658</v>
      </c>
    </row>
    <row r="177" spans="1:14" x14ac:dyDescent="0.2">
      <c r="A177" s="105">
        <v>178</v>
      </c>
      <c r="B177" s="105" t="str">
        <f>VLOOKUP( $A177, Aop!$A$2:$P$453, 2, 0)</f>
        <v>BUa</v>
      </c>
      <c r="C177" s="55">
        <v>27</v>
      </c>
      <c r="D177" s="55" t="str">
        <f t="shared" si="22"/>
        <v>01814788</v>
      </c>
      <c r="E177" s="55" t="str">
        <f t="shared" si="23"/>
        <v>4400570050004</v>
      </c>
      <c r="F177" s="55" t="b">
        <f t="shared" si="25"/>
        <v>1</v>
      </c>
      <c r="G177" s="139">
        <f t="shared" si="26"/>
        <v>45565</v>
      </c>
      <c r="H177" s="105">
        <f>VLOOKUP( $A177, Aop!$A$2:$P$453, 4, 0)</f>
        <v>240</v>
      </c>
      <c r="I177" s="55">
        <f t="shared" si="24"/>
        <v>2024</v>
      </c>
      <c r="J177" s="55" t="str">
        <f t="shared" ca="1" si="30"/>
        <v/>
      </c>
      <c r="K177" s="55"/>
      <c r="L177" s="55"/>
      <c r="M177" s="55">
        <f t="shared" ca="1" si="29"/>
        <v>18655</v>
      </c>
      <c r="N177" s="55">
        <f t="shared" ca="1" si="21"/>
        <v>18655</v>
      </c>
    </row>
    <row r="178" spans="1:14" x14ac:dyDescent="0.2">
      <c r="A178" s="105">
        <v>179</v>
      </c>
      <c r="B178" s="105" t="str">
        <f>VLOOKUP( $A178, Aop!$A$2:$P$453, 2, 0)</f>
        <v>BUa</v>
      </c>
      <c r="C178" s="55">
        <v>27</v>
      </c>
      <c r="D178" s="55" t="str">
        <f t="shared" si="22"/>
        <v>01814788</v>
      </c>
      <c r="E178" s="55" t="str">
        <f t="shared" si="23"/>
        <v>4400570050004</v>
      </c>
      <c r="F178" s="55" t="b">
        <f t="shared" si="25"/>
        <v>1</v>
      </c>
      <c r="G178" s="139">
        <f t="shared" si="26"/>
        <v>45565</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1</v>
      </c>
      <c r="G179" s="139">
        <f t="shared" si="26"/>
        <v>45565</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1</v>
      </c>
      <c r="G180" s="139">
        <f t="shared" si="26"/>
        <v>45565</v>
      </c>
      <c r="H180" s="105">
        <f>VLOOKUP( $A180, Aop!$A$2:$P$453, 4, 0)</f>
        <v>243</v>
      </c>
      <c r="I180" s="55">
        <f t="shared" si="24"/>
        <v>2024</v>
      </c>
      <c r="J180" s="55" t="str">
        <f t="shared" ca="1" si="30"/>
        <v/>
      </c>
      <c r="K180" s="55"/>
      <c r="L180" s="55"/>
      <c r="M180" s="55">
        <f t="shared" ca="1" si="29"/>
        <v>3</v>
      </c>
      <c r="N180" s="55">
        <f t="shared" ca="1" si="21"/>
        <v>3</v>
      </c>
    </row>
    <row r="181" spans="1:14" x14ac:dyDescent="0.2">
      <c r="A181" s="105">
        <v>183</v>
      </c>
      <c r="B181" s="105" t="str">
        <f>VLOOKUP( $A181, Aop!$A$2:$P$453, 2, 0)</f>
        <v>BUa</v>
      </c>
      <c r="C181" s="55">
        <v>27</v>
      </c>
      <c r="D181" s="55" t="str">
        <f t="shared" si="22"/>
        <v>01814788</v>
      </c>
      <c r="E181" s="55" t="str">
        <f t="shared" si="23"/>
        <v>4400570050004</v>
      </c>
      <c r="F181" s="55" t="b">
        <f t="shared" si="25"/>
        <v>1</v>
      </c>
      <c r="G181" s="139">
        <f t="shared" si="26"/>
        <v>45565</v>
      </c>
      <c r="H181" s="105">
        <f>VLOOKUP( $A181, Aop!$A$2:$P$453, 4, 0)</f>
        <v>245</v>
      </c>
      <c r="I181" s="55">
        <f t="shared" si="24"/>
        <v>2024</v>
      </c>
      <c r="J181" s="55" t="str">
        <f t="shared" ca="1" si="30"/>
        <v/>
      </c>
      <c r="K181" s="55"/>
      <c r="L181" s="55"/>
      <c r="M181" s="55">
        <f t="shared" ca="1" si="29"/>
        <v>542327</v>
      </c>
      <c r="N181" s="55">
        <f t="shared" ca="1" si="21"/>
        <v>542327</v>
      </c>
    </row>
    <row r="182" spans="1:14" x14ac:dyDescent="0.2">
      <c r="A182" s="105">
        <v>184</v>
      </c>
      <c r="B182" s="105" t="str">
        <f>VLOOKUP( $A182, Aop!$A$2:$P$453, 2, 0)</f>
        <v>BUa</v>
      </c>
      <c r="C182" s="55">
        <v>27</v>
      </c>
      <c r="D182" s="55" t="str">
        <f t="shared" si="22"/>
        <v>01814788</v>
      </c>
      <c r="E182" s="55" t="str">
        <f t="shared" si="23"/>
        <v>4400570050004</v>
      </c>
      <c r="F182" s="55" t="b">
        <f t="shared" si="25"/>
        <v>1</v>
      </c>
      <c r="G182" s="139">
        <f t="shared" si="26"/>
        <v>45565</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1</v>
      </c>
      <c r="G183" s="139">
        <f t="shared" si="26"/>
        <v>45565</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1</v>
      </c>
      <c r="G184" s="139">
        <f t="shared" si="26"/>
        <v>45565</v>
      </c>
      <c r="H184" s="105">
        <f>VLOOKUP( $A184, Aop!$A$2:$P$453, 4, 0)</f>
        <v>248</v>
      </c>
      <c r="I184" s="55">
        <f t="shared" si="24"/>
        <v>2024</v>
      </c>
      <c r="J184" s="55" t="str">
        <f t="shared" ca="1" si="30"/>
        <v/>
      </c>
      <c r="K184" s="55"/>
      <c r="L184" s="55"/>
      <c r="M184" s="55">
        <f t="shared" ca="1" si="29"/>
        <v>3</v>
      </c>
      <c r="N184" s="55">
        <f t="shared" ca="1" si="21"/>
        <v>3</v>
      </c>
    </row>
    <row r="185" spans="1:14" x14ac:dyDescent="0.2">
      <c r="A185" s="105">
        <v>187</v>
      </c>
      <c r="B185" s="105" t="str">
        <f>VLOOKUP( $A185, Aop!$A$2:$P$453, 2, 0)</f>
        <v>BUa</v>
      </c>
      <c r="C185" s="55">
        <v>27</v>
      </c>
      <c r="D185" s="55" t="str">
        <f t="shared" si="22"/>
        <v>01814788</v>
      </c>
      <c r="E185" s="55" t="str">
        <f t="shared" si="23"/>
        <v>4400570050004</v>
      </c>
      <c r="F185" s="55" t="b">
        <f t="shared" si="25"/>
        <v>1</v>
      </c>
      <c r="G185" s="139">
        <f t="shared" si="26"/>
        <v>45565</v>
      </c>
      <c r="H185" s="105">
        <f>VLOOKUP( $A185, Aop!$A$2:$P$453, 4, 0)</f>
        <v>249</v>
      </c>
      <c r="I185" s="55">
        <f t="shared" si="24"/>
        <v>2024</v>
      </c>
      <c r="J185" s="55" t="str">
        <f t="shared" ca="1" si="30"/>
        <v/>
      </c>
      <c r="K185" s="55"/>
      <c r="L185" s="55"/>
      <c r="M185" s="55">
        <f t="shared" ca="1" si="29"/>
        <v>231974</v>
      </c>
      <c r="N185" s="55">
        <f t="shared" ca="1" si="21"/>
        <v>231974</v>
      </c>
    </row>
    <row r="186" spans="1:14" x14ac:dyDescent="0.2">
      <c r="A186" s="105">
        <v>188</v>
      </c>
      <c r="B186" s="105" t="str">
        <f>VLOOKUP( $A186, Aop!$A$2:$P$453, 2, 0)</f>
        <v>BUa</v>
      </c>
      <c r="C186" s="55">
        <v>27</v>
      </c>
      <c r="D186" s="55" t="str">
        <f t="shared" si="22"/>
        <v>01814788</v>
      </c>
      <c r="E186" s="55" t="str">
        <f t="shared" si="23"/>
        <v>4400570050004</v>
      </c>
      <c r="F186" s="55" t="b">
        <f t="shared" si="25"/>
        <v>1</v>
      </c>
      <c r="G186" s="139">
        <f t="shared" si="26"/>
        <v>45565</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1</v>
      </c>
      <c r="G187" s="139">
        <f t="shared" si="26"/>
        <v>45565</v>
      </c>
      <c r="H187" s="105">
        <f>VLOOKUP( $A187, Aop!$A$2:$P$453, 4, 0)</f>
        <v>251</v>
      </c>
      <c r="I187" s="55">
        <f t="shared" si="24"/>
        <v>2024</v>
      </c>
      <c r="J187" s="55" t="str">
        <f t="shared" ca="1" si="30"/>
        <v/>
      </c>
      <c r="K187" s="55"/>
      <c r="L187" s="55"/>
      <c r="M187" s="55">
        <f t="shared" ca="1" si="29"/>
        <v>447327</v>
      </c>
      <c r="N187" s="55">
        <f t="shared" ca="1" si="21"/>
        <v>447327</v>
      </c>
    </row>
    <row r="188" spans="1:14" x14ac:dyDescent="0.2">
      <c r="A188" s="105">
        <v>190</v>
      </c>
      <c r="B188" s="105" t="str">
        <f>VLOOKUP( $A188, Aop!$A$2:$P$453, 2, 0)</f>
        <v>BUa</v>
      </c>
      <c r="C188" s="55">
        <v>27</v>
      </c>
      <c r="D188" s="55" t="str">
        <f t="shared" si="22"/>
        <v>01814788</v>
      </c>
      <c r="E188" s="55" t="str">
        <f t="shared" si="23"/>
        <v>4400570050004</v>
      </c>
      <c r="F188" s="55" t="b">
        <f t="shared" si="25"/>
        <v>1</v>
      </c>
      <c r="G188" s="139">
        <f t="shared" si="26"/>
        <v>45565</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1</v>
      </c>
      <c r="G189" s="139">
        <f t="shared" si="26"/>
        <v>45565</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1</v>
      </c>
      <c r="G190" s="139">
        <f t="shared" si="26"/>
        <v>45565</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1</v>
      </c>
      <c r="G191" s="139">
        <f t="shared" si="26"/>
        <v>45565</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1</v>
      </c>
      <c r="G192" s="139">
        <f t="shared" ref="G192:G253" si="35">Datum_Broj</f>
        <v>45565</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1</v>
      </c>
      <c r="G193" s="139">
        <f t="shared" si="35"/>
        <v>45565</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1</v>
      </c>
      <c r="G194" s="139">
        <f t="shared" si="35"/>
        <v>45565</v>
      </c>
      <c r="H194" s="105">
        <f>VLOOKUP( $A194, Aop!$A$2:$P$453, 4, 0)</f>
        <v>258</v>
      </c>
      <c r="I194" s="55">
        <f t="shared" si="33"/>
        <v>2024</v>
      </c>
      <c r="J194" s="55" t="str">
        <f t="shared" ca="1" si="30"/>
        <v/>
      </c>
      <c r="K194" s="55"/>
      <c r="L194" s="55"/>
      <c r="M194" s="55">
        <f t="shared" ca="1" si="29"/>
        <v>105</v>
      </c>
      <c r="N194" s="55">
        <f t="shared" ref="N194:N257" ca="1" si="36">IF( VLOOKUP( $H194, INDIRECT( "Lookup_" &amp; $B194), IF( LEFT( $B194, 2) = "BS", S$2, S$1), 0) = "", "", VLOOKUP( $H194, INDIRECT( "Lookup_" &amp; $B194), IF( LEFT( $B194, 2) = "BS", S$2, S$1), 0))</f>
        <v>105</v>
      </c>
    </row>
    <row r="195" spans="1:14" x14ac:dyDescent="0.2">
      <c r="A195" s="105">
        <v>197</v>
      </c>
      <c r="B195" s="105" t="str">
        <f>VLOOKUP( $A195, Aop!$A$2:$P$453, 2, 0)</f>
        <v>BUa</v>
      </c>
      <c r="C195" s="55">
        <v>27</v>
      </c>
      <c r="D195" s="55" t="str">
        <f t="shared" si="31"/>
        <v>01814788</v>
      </c>
      <c r="E195" s="55" t="str">
        <f t="shared" si="32"/>
        <v>4400570050004</v>
      </c>
      <c r="F195" s="55" t="b">
        <f t="shared" si="34"/>
        <v>1</v>
      </c>
      <c r="G195" s="139">
        <f t="shared" si="35"/>
        <v>45565</v>
      </c>
      <c r="H195" s="105">
        <f>VLOOKUP( $A195, Aop!$A$2:$P$453, 4, 0)</f>
        <v>259</v>
      </c>
      <c r="I195" s="55">
        <f t="shared" si="33"/>
        <v>2024</v>
      </c>
      <c r="J195" s="55" t="str">
        <f t="shared" ca="1" si="30"/>
        <v/>
      </c>
      <c r="K195" s="55"/>
      <c r="L195" s="55"/>
      <c r="M195" s="55">
        <f t="shared" ca="1" si="29"/>
        <v>447222</v>
      </c>
      <c r="N195" s="55">
        <f t="shared" ca="1" si="36"/>
        <v>447222</v>
      </c>
    </row>
    <row r="196" spans="1:14" x14ac:dyDescent="0.2">
      <c r="A196" s="105">
        <v>198</v>
      </c>
      <c r="B196" s="55" t="str">
        <f>VLOOKUP( $A196, Aop!$A$2:$P$453, 2, 0)</f>
        <v>BUa</v>
      </c>
      <c r="C196" s="55">
        <v>27</v>
      </c>
      <c r="D196" s="55" t="str">
        <f>Podatak_MB</f>
        <v>01814788</v>
      </c>
      <c r="E196" s="55" t="str">
        <f>Podatak_JIB</f>
        <v>4400570050004</v>
      </c>
      <c r="F196" s="55" t="b">
        <f>Konsolidovan_izvjestaj</f>
        <v>1</v>
      </c>
      <c r="G196" s="139">
        <f>Datum_Broj</f>
        <v>45565</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1</v>
      </c>
      <c r="G197" s="139">
        <f t="shared" si="35"/>
        <v>45565</v>
      </c>
      <c r="H197" s="105">
        <f>VLOOKUP( $A197, Aop!$A$2:$P$453, 4, 0)</f>
        <v>261</v>
      </c>
      <c r="I197" s="55">
        <f t="shared" si="33"/>
        <v>2024</v>
      </c>
      <c r="J197" s="55" t="str">
        <f t="shared" ca="1" si="30"/>
        <v/>
      </c>
      <c r="K197" s="55"/>
      <c r="L197" s="55"/>
      <c r="M197" s="55">
        <f t="shared" ca="1" si="29"/>
        <v>157807</v>
      </c>
      <c r="N197" s="55">
        <f t="shared" ca="1" si="36"/>
        <v>157807</v>
      </c>
    </row>
    <row r="198" spans="1:14" x14ac:dyDescent="0.2">
      <c r="A198" s="105">
        <v>200</v>
      </c>
      <c r="B198" s="105" t="str">
        <f>VLOOKUP( $A198, Aop!$A$2:$P$453, 2, 0)</f>
        <v>BUa</v>
      </c>
      <c r="C198" s="55">
        <v>27</v>
      </c>
      <c r="D198" s="55" t="str">
        <f t="shared" si="31"/>
        <v>01814788</v>
      </c>
      <c r="E198" s="55" t="str">
        <f t="shared" si="32"/>
        <v>4400570050004</v>
      </c>
      <c r="F198" s="55" t="b">
        <f t="shared" si="34"/>
        <v>1</v>
      </c>
      <c r="G198" s="139">
        <f t="shared" si="35"/>
        <v>45565</v>
      </c>
      <c r="H198" s="105">
        <f>VLOOKUP( $A198, Aop!$A$2:$P$453, 4, 0)</f>
        <v>262</v>
      </c>
      <c r="I198" s="55">
        <f t="shared" si="33"/>
        <v>2024</v>
      </c>
      <c r="J198" s="55" t="str">
        <f t="shared" ca="1" si="30"/>
        <v/>
      </c>
      <c r="K198" s="55"/>
      <c r="L198" s="55"/>
      <c r="M198" s="55">
        <f t="shared" ref="M198:M261" ca="1" si="37">IF( VLOOKUP( $H198, INDIRECT( "Lookup_" &amp; $B198), IF( LEFT( $B198, 2) = "BS", S$2, S$1), 0) = "", "", VLOOKUP( $H198, INDIRECT( "Lookup_" &amp; $B198), IF( LEFT( $B198, 2) = "BS", S$2, S$1), 0))</f>
        <v>89126</v>
      </c>
      <c r="N198" s="55">
        <f t="shared" ca="1" si="36"/>
        <v>89126</v>
      </c>
    </row>
    <row r="199" spans="1:14" x14ac:dyDescent="0.2">
      <c r="A199" s="105">
        <v>201</v>
      </c>
      <c r="B199" s="105" t="str">
        <f>VLOOKUP( $A199, Aop!$A$2:$P$453, 2, 0)</f>
        <v>BUa</v>
      </c>
      <c r="C199" s="55">
        <v>27</v>
      </c>
      <c r="D199" s="55" t="str">
        <f t="shared" si="31"/>
        <v>01814788</v>
      </c>
      <c r="E199" s="55" t="str">
        <f t="shared" si="32"/>
        <v>4400570050004</v>
      </c>
      <c r="F199" s="55" t="b">
        <f t="shared" si="34"/>
        <v>1</v>
      </c>
      <c r="G199" s="139">
        <f t="shared" si="35"/>
        <v>45565</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1</v>
      </c>
      <c r="G200" s="139">
        <f t="shared" si="35"/>
        <v>45565</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1</v>
      </c>
      <c r="G201" s="139">
        <f t="shared" si="35"/>
        <v>45565</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1</v>
      </c>
      <c r="G202" s="139">
        <f t="shared" si="35"/>
        <v>45565</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1</v>
      </c>
      <c r="G203" s="139">
        <f t="shared" si="35"/>
        <v>45565</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1</v>
      </c>
      <c r="G204" s="139">
        <f t="shared" si="35"/>
        <v>45565</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1</v>
      </c>
      <c r="G205" s="139">
        <f t="shared" si="35"/>
        <v>45565</v>
      </c>
      <c r="H205" s="105">
        <f>VLOOKUP( $A205, Aop!$A$2:$P$453, 4, 0)</f>
        <v>270</v>
      </c>
      <c r="I205" s="55">
        <f t="shared" si="33"/>
        <v>2024</v>
      </c>
      <c r="J205" s="55" t="str">
        <f t="shared" ca="1" si="38"/>
        <v/>
      </c>
      <c r="K205" s="55"/>
      <c r="L205" s="55"/>
      <c r="M205" s="55">
        <f t="shared" ca="1" si="37"/>
        <v>68681</v>
      </c>
      <c r="N205" s="55">
        <f t="shared" ca="1" si="36"/>
        <v>68681</v>
      </c>
    </row>
    <row r="206" spans="1:14" x14ac:dyDescent="0.2">
      <c r="A206" s="105">
        <v>209</v>
      </c>
      <c r="B206" s="105" t="str">
        <f>VLOOKUP( $A206, Aop!$A$2:$P$453, 2, 0)</f>
        <v>BUa</v>
      </c>
      <c r="C206" s="55">
        <v>27</v>
      </c>
      <c r="D206" s="55" t="str">
        <f t="shared" si="31"/>
        <v>01814788</v>
      </c>
      <c r="E206" s="55" t="str">
        <f t="shared" si="32"/>
        <v>4400570050004</v>
      </c>
      <c r="F206" s="55" t="b">
        <f t="shared" si="34"/>
        <v>1</v>
      </c>
      <c r="G206" s="139">
        <f t="shared" si="35"/>
        <v>45565</v>
      </c>
      <c r="H206" s="105">
        <f>VLOOKUP( $A206, Aop!$A$2:$P$453, 4, 0)</f>
        <v>271</v>
      </c>
      <c r="I206" s="55">
        <f t="shared" si="33"/>
        <v>2024</v>
      </c>
      <c r="J206" s="55" t="str">
        <f t="shared" ca="1" si="38"/>
        <v/>
      </c>
      <c r="K206" s="55"/>
      <c r="L206" s="55"/>
      <c r="M206" s="55">
        <f t="shared" ca="1" si="37"/>
        <v>289520</v>
      </c>
      <c r="N206" s="55">
        <f t="shared" ca="1" si="36"/>
        <v>289520</v>
      </c>
    </row>
    <row r="207" spans="1:14" x14ac:dyDescent="0.2">
      <c r="A207" s="105">
        <v>210</v>
      </c>
      <c r="B207" s="105" t="str">
        <f>VLOOKUP( $A207, Aop!$A$2:$P$453, 2, 0)</f>
        <v>BUa</v>
      </c>
      <c r="C207" s="55">
        <v>27</v>
      </c>
      <c r="D207" s="55" t="str">
        <f t="shared" si="31"/>
        <v>01814788</v>
      </c>
      <c r="E207" s="55" t="str">
        <f t="shared" si="32"/>
        <v>4400570050004</v>
      </c>
      <c r="F207" s="55" t="b">
        <f t="shared" si="34"/>
        <v>1</v>
      </c>
      <c r="G207" s="139">
        <f t="shared" si="35"/>
        <v>45565</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1</v>
      </c>
      <c r="G208" s="139">
        <f t="shared" si="35"/>
        <v>45565</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1</v>
      </c>
      <c r="G209" s="139">
        <f t="shared" si="35"/>
        <v>45565</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1</v>
      </c>
      <c r="G210" s="139">
        <f t="shared" si="35"/>
        <v>45565</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1</v>
      </c>
      <c r="G211" s="139">
        <f t="shared" si="35"/>
        <v>45565</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1</v>
      </c>
      <c r="G212" s="139">
        <f t="shared" si="35"/>
        <v>45565</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1</v>
      </c>
      <c r="G213" s="139">
        <f t="shared" si="35"/>
        <v>45565</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1</v>
      </c>
      <c r="G214" s="139">
        <f t="shared" si="35"/>
        <v>45565</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1</v>
      </c>
      <c r="G215" s="139">
        <f t="shared" si="35"/>
        <v>45565</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1</v>
      </c>
      <c r="G216" s="139">
        <f t="shared" si="35"/>
        <v>45565</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1</v>
      </c>
      <c r="G217" s="139">
        <f t="shared" si="35"/>
        <v>45565</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1</v>
      </c>
      <c r="G218" s="139">
        <f>Datum_Broj</f>
        <v>45565</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1</v>
      </c>
      <c r="G219" s="139">
        <f t="shared" si="35"/>
        <v>45565</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1</v>
      </c>
      <c r="G220" s="139">
        <f t="shared" si="35"/>
        <v>45565</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1</v>
      </c>
      <c r="G221" s="139">
        <f>Datum_Broj</f>
        <v>45565</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01814788</v>
      </c>
      <c r="E222" s="55" t="str">
        <f t="shared" si="32"/>
        <v>4400570050004</v>
      </c>
      <c r="F222" s="55" t="b">
        <f t="shared" si="34"/>
        <v>1</v>
      </c>
      <c r="G222" s="139">
        <f t="shared" si="35"/>
        <v>45565</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01814788</v>
      </c>
      <c r="E223" s="55" t="str">
        <f t="shared" si="32"/>
        <v>4400570050004</v>
      </c>
      <c r="F223" s="55" t="b">
        <f t="shared" si="34"/>
        <v>1</v>
      </c>
      <c r="G223" s="139">
        <f t="shared" si="35"/>
        <v>45565</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1</v>
      </c>
      <c r="G224" s="139">
        <f>Datum_Broj</f>
        <v>45565</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1</v>
      </c>
      <c r="G225" s="139">
        <f t="shared" si="35"/>
        <v>45565</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1</v>
      </c>
      <c r="G226" s="139">
        <f t="shared" si="35"/>
        <v>45565</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1</v>
      </c>
      <c r="G227" s="139">
        <f t="shared" si="35"/>
        <v>45565</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01814788</v>
      </c>
      <c r="E228" s="55" t="str">
        <f t="shared" si="32"/>
        <v>4400570050004</v>
      </c>
      <c r="F228" s="55" t="b">
        <f t="shared" si="34"/>
        <v>1</v>
      </c>
      <c r="G228" s="139">
        <f t="shared" si="35"/>
        <v>45565</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1</v>
      </c>
      <c r="G229" s="139">
        <f t="shared" si="35"/>
        <v>45565</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1</v>
      </c>
      <c r="G230" s="139">
        <f t="shared" si="35"/>
        <v>45565</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1</v>
      </c>
      <c r="G231" s="139">
        <f t="shared" si="35"/>
        <v>45565</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1</v>
      </c>
      <c r="G232" s="139">
        <f t="shared" si="35"/>
        <v>45565</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1</v>
      </c>
      <c r="G233" s="139">
        <f t="shared" si="35"/>
        <v>45565</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01814788</v>
      </c>
      <c r="E234" s="55" t="str">
        <f t="shared" si="32"/>
        <v>4400570050004</v>
      </c>
      <c r="F234" s="55" t="b">
        <f t="shared" si="34"/>
        <v>1</v>
      </c>
      <c r="G234" s="139">
        <f t="shared" si="35"/>
        <v>45565</v>
      </c>
      <c r="H234" s="105">
        <f>VLOOKUP( $A234, Aop!$A$2:$P$453, 4, 0)</f>
        <v>302</v>
      </c>
      <c r="I234" s="55">
        <f t="shared" si="33"/>
        <v>2024</v>
      </c>
      <c r="J234" s="55" t="str">
        <f t="shared" ca="1" si="38"/>
        <v/>
      </c>
      <c r="K234" s="55"/>
      <c r="L234" s="55"/>
      <c r="M234" s="55">
        <f t="shared" ca="1" si="37"/>
        <v>5116</v>
      </c>
      <c r="N234" s="55">
        <f t="shared" ca="1" si="36"/>
        <v>5116</v>
      </c>
    </row>
    <row r="235" spans="1:14" x14ac:dyDescent="0.2">
      <c r="A235" s="105">
        <v>241</v>
      </c>
      <c r="B235" s="105" t="str">
        <f>VLOOKUP( $A235, Aop!$A$2:$P$453, 2, 0)</f>
        <v>BUa</v>
      </c>
      <c r="C235" s="55">
        <v>27</v>
      </c>
      <c r="D235" s="55" t="str">
        <f t="shared" si="31"/>
        <v>01814788</v>
      </c>
      <c r="E235" s="55" t="str">
        <f t="shared" si="32"/>
        <v>4400570050004</v>
      </c>
      <c r="F235" s="55" t="b">
        <f t="shared" si="34"/>
        <v>1</v>
      </c>
      <c r="G235" s="139">
        <f t="shared" si="35"/>
        <v>45565</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1</v>
      </c>
      <c r="G236" s="139">
        <f t="shared" si="35"/>
        <v>45565</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1</v>
      </c>
      <c r="G237" s="139">
        <f t="shared" si="35"/>
        <v>45565</v>
      </c>
      <c r="H237" s="105">
        <f>VLOOKUP( $A237, Aop!$A$2:$P$453, 4, 0)</f>
        <v>305</v>
      </c>
      <c r="I237" s="55">
        <f t="shared" si="33"/>
        <v>2024</v>
      </c>
      <c r="J237" s="55" t="str">
        <f t="shared" ca="1" si="38"/>
        <v/>
      </c>
      <c r="K237" s="55"/>
      <c r="L237" s="55"/>
      <c r="M237" s="55">
        <f t="shared" ca="1" si="37"/>
        <v>30063501</v>
      </c>
      <c r="N237" s="55">
        <f t="shared" ca="1" si="36"/>
        <v>30063501</v>
      </c>
    </row>
    <row r="238" spans="1:14" x14ac:dyDescent="0.2">
      <c r="A238" s="105">
        <v>244</v>
      </c>
      <c r="B238" s="105" t="str">
        <f>VLOOKUP( $A238, Aop!$A$2:$P$453, 2, 0)</f>
        <v>BUa</v>
      </c>
      <c r="C238" s="55">
        <v>27</v>
      </c>
      <c r="D238" s="55" t="str">
        <f t="shared" si="31"/>
        <v>01814788</v>
      </c>
      <c r="E238" s="55" t="str">
        <f t="shared" si="32"/>
        <v>4400570050004</v>
      </c>
      <c r="F238" s="55" t="b">
        <f t="shared" si="34"/>
        <v>1</v>
      </c>
      <c r="G238" s="139">
        <f t="shared" si="35"/>
        <v>45565</v>
      </c>
      <c r="H238" s="105">
        <f>VLOOKUP( $A238, Aop!$A$2:$P$453, 4, 0)</f>
        <v>306</v>
      </c>
      <c r="I238" s="55">
        <f t="shared" si="33"/>
        <v>2024</v>
      </c>
      <c r="J238" s="55" t="str">
        <f t="shared" ca="1" si="38"/>
        <v/>
      </c>
      <c r="K238" s="55"/>
      <c r="L238" s="55"/>
      <c r="M238" s="55">
        <f t="shared" ca="1" si="37"/>
        <v>29546968</v>
      </c>
      <c r="N238" s="55">
        <f t="shared" ca="1" si="36"/>
        <v>29546968</v>
      </c>
    </row>
    <row r="239" spans="1:14" x14ac:dyDescent="0.2">
      <c r="A239" s="105">
        <v>245</v>
      </c>
      <c r="B239" s="105" t="str">
        <f>VLOOKUP( $A239, Aop!$A$2:$P$453, 2, 0)</f>
        <v>BUa</v>
      </c>
      <c r="C239" s="55">
        <v>27</v>
      </c>
      <c r="D239" s="55" t="str">
        <f t="shared" si="31"/>
        <v>01814788</v>
      </c>
      <c r="E239" s="55" t="str">
        <f t="shared" si="32"/>
        <v>4400570050004</v>
      </c>
      <c r="F239" s="55" t="b">
        <f t="shared" si="34"/>
        <v>1</v>
      </c>
      <c r="G239" s="139">
        <f t="shared" si="35"/>
        <v>45565</v>
      </c>
      <c r="H239" s="105">
        <f>VLOOKUP( $A239, Aop!$A$2:$P$453, 4, 0)</f>
        <v>307</v>
      </c>
      <c r="I239" s="55">
        <f t="shared" si="33"/>
        <v>2024</v>
      </c>
      <c r="J239" s="55" t="str">
        <f t="shared" ca="1" si="38"/>
        <v/>
      </c>
      <c r="K239" s="55"/>
      <c r="L239" s="55"/>
      <c r="M239" s="55">
        <f t="shared" ca="1" si="37"/>
        <v>516533</v>
      </c>
      <c r="N239" s="55">
        <f t="shared" ca="1" si="36"/>
        <v>516533</v>
      </c>
    </row>
    <row r="240" spans="1:14" x14ac:dyDescent="0.2">
      <c r="A240" s="105">
        <v>246</v>
      </c>
      <c r="B240" s="105" t="str">
        <f>VLOOKUP( $A240, Aop!$A$2:$P$453, 2, 0)</f>
        <v>BUa</v>
      </c>
      <c r="C240" s="55">
        <v>27</v>
      </c>
      <c r="D240" s="55" t="str">
        <f t="shared" si="31"/>
        <v>01814788</v>
      </c>
      <c r="E240" s="55" t="str">
        <f t="shared" si="32"/>
        <v>4400570050004</v>
      </c>
      <c r="F240" s="55" t="b">
        <f t="shared" si="34"/>
        <v>1</v>
      </c>
      <c r="G240" s="139">
        <f t="shared" si="35"/>
        <v>45565</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1</v>
      </c>
      <c r="G241" s="139">
        <f t="shared" si="35"/>
        <v>45565</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1</v>
      </c>
      <c r="G242" s="139">
        <f t="shared" si="35"/>
        <v>45565</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1</v>
      </c>
      <c r="G243" s="139">
        <f t="shared" si="35"/>
        <v>45565</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1</v>
      </c>
      <c r="G244" s="139">
        <f t="shared" si="35"/>
        <v>45565</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1</v>
      </c>
      <c r="G245" s="139">
        <f t="shared" si="35"/>
        <v>45565</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1</v>
      </c>
      <c r="G246" s="139">
        <f t="shared" si="35"/>
        <v>45565</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1</v>
      </c>
      <c r="G247" s="139">
        <f t="shared" si="35"/>
        <v>45565</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1</v>
      </c>
      <c r="G248" s="139">
        <f>Datum_Broj</f>
        <v>45565</v>
      </c>
      <c r="H248" s="55">
        <f>VLOOKUP( $A248, Aop!$A$2:$P$453, 4, 0)</f>
        <v>316</v>
      </c>
      <c r="I248" s="55">
        <f>Godina</f>
        <v>2024</v>
      </c>
      <c r="J248" s="55" t="str">
        <f t="shared" ca="1" si="38"/>
        <v/>
      </c>
      <c r="K248" s="55"/>
      <c r="L248" s="55"/>
      <c r="M248" s="55">
        <f t="shared" ca="1" si="37"/>
        <v>516533</v>
      </c>
      <c r="N248" s="55">
        <f t="shared" ca="1" si="36"/>
        <v>516533</v>
      </c>
    </row>
    <row r="249" spans="1:14" x14ac:dyDescent="0.2">
      <c r="A249" s="105">
        <v>255</v>
      </c>
      <c r="B249" s="105" t="str">
        <f>VLOOKUP( $A249, Aop!$A$2:$P$453, 2, 0)</f>
        <v>BUa</v>
      </c>
      <c r="C249" s="55">
        <v>27</v>
      </c>
      <c r="D249" s="55" t="str">
        <f t="shared" si="31"/>
        <v>01814788</v>
      </c>
      <c r="E249" s="55" t="str">
        <f t="shared" si="32"/>
        <v>4400570050004</v>
      </c>
      <c r="F249" s="55" t="b">
        <f t="shared" si="34"/>
        <v>1</v>
      </c>
      <c r="G249" s="139">
        <f t="shared" si="35"/>
        <v>45565</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1</v>
      </c>
      <c r="G250" s="139">
        <f t="shared" si="35"/>
        <v>45565</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1</v>
      </c>
      <c r="G251" s="139">
        <f>Datum_Broj</f>
        <v>45565</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1</v>
      </c>
      <c r="G252" s="139">
        <f t="shared" si="35"/>
        <v>45565</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1</v>
      </c>
      <c r="G253" s="139">
        <f t="shared" si="35"/>
        <v>45565</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1</v>
      </c>
      <c r="G254" s="139">
        <f t="shared" ref="G254:G311" si="43">Datum_Broj</f>
        <v>45565</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1</v>
      </c>
      <c r="G255" s="139">
        <f t="shared" si="43"/>
        <v>45565</v>
      </c>
      <c r="H255" s="105">
        <f>VLOOKUP( $A255, Aop!$A$2:$P$453, 4, 0)</f>
        <v>323</v>
      </c>
      <c r="I255" s="55">
        <f t="shared" si="41"/>
        <v>2024</v>
      </c>
      <c r="J255" s="55" t="str">
        <f t="shared" ca="1" si="38"/>
        <v/>
      </c>
      <c r="K255" s="55"/>
      <c r="L255" s="55"/>
      <c r="M255" s="55">
        <f t="shared" ca="1" si="37"/>
        <v>462</v>
      </c>
      <c r="N255" s="55">
        <f t="shared" ca="1" si="36"/>
        <v>462</v>
      </c>
    </row>
    <row r="256" spans="1:14" x14ac:dyDescent="0.2">
      <c r="A256" s="105">
        <v>262</v>
      </c>
      <c r="B256" s="105" t="str">
        <f>VLOOKUP( $A256, Aop!$A$2:$P$453, 2, 0)</f>
        <v>BUa</v>
      </c>
      <c r="C256" s="55">
        <v>27</v>
      </c>
      <c r="D256" s="55" t="str">
        <f t="shared" si="39"/>
        <v>01814788</v>
      </c>
      <c r="E256" s="55" t="str">
        <f t="shared" si="40"/>
        <v>4400570050004</v>
      </c>
      <c r="F256" s="55" t="b">
        <f t="shared" si="42"/>
        <v>1</v>
      </c>
      <c r="G256" s="139">
        <f t="shared" si="43"/>
        <v>45565</v>
      </c>
      <c r="H256" s="105">
        <f>VLOOKUP( $A256, Aop!$A$2:$P$453, 4, 0)</f>
        <v>324</v>
      </c>
      <c r="I256" s="55">
        <f t="shared" si="41"/>
        <v>2024</v>
      </c>
      <c r="J256" s="55" t="str">
        <f t="shared" ca="1" si="38"/>
        <v/>
      </c>
      <c r="K256" s="55"/>
      <c r="L256" s="55"/>
      <c r="M256" s="55">
        <f t="shared" ca="1" si="37"/>
        <v>455</v>
      </c>
      <c r="N256" s="55">
        <f t="shared" ca="1" si="36"/>
        <v>455</v>
      </c>
    </row>
    <row r="257" spans="1:14" x14ac:dyDescent="0.2">
      <c r="A257" s="105">
        <v>263</v>
      </c>
      <c r="B257" s="105" t="str">
        <f>VLOOKUP( $A257, Aop!$A$2:$P$453, 2, 0)</f>
        <v>BUb</v>
      </c>
      <c r="C257" s="55">
        <v>27</v>
      </c>
      <c r="D257" s="55" t="str">
        <f t="shared" si="39"/>
        <v>01814788</v>
      </c>
      <c r="E257" s="55" t="str">
        <f t="shared" si="40"/>
        <v>4400570050004</v>
      </c>
      <c r="F257" s="55" t="b">
        <f t="shared" si="42"/>
        <v>1</v>
      </c>
      <c r="G257" s="139">
        <f t="shared" si="43"/>
        <v>45565</v>
      </c>
      <c r="H257" s="105">
        <f>VLOOKUP( $A257, Aop!$A$2:$P$453, 4, 0)</f>
        <v>400</v>
      </c>
      <c r="I257" s="55">
        <f t="shared" si="41"/>
        <v>2024</v>
      </c>
      <c r="J257" s="55" t="str">
        <f t="shared" ca="1" si="38"/>
        <v/>
      </c>
      <c r="K257" s="55"/>
      <c r="L257" s="55"/>
      <c r="M257" s="55">
        <f t="shared" ca="1" si="37"/>
        <v>516533</v>
      </c>
      <c r="N257" s="55">
        <f t="shared" ca="1" si="36"/>
        <v>516533</v>
      </c>
    </row>
    <row r="258" spans="1:14" x14ac:dyDescent="0.2">
      <c r="A258" s="105">
        <v>264</v>
      </c>
      <c r="B258" s="105" t="str">
        <f>VLOOKUP( $A258, Aop!$A$2:$P$453, 2, 0)</f>
        <v>BUb</v>
      </c>
      <c r="C258" s="55">
        <v>27</v>
      </c>
      <c r="D258" s="55" t="str">
        <f t="shared" si="39"/>
        <v>01814788</v>
      </c>
      <c r="E258" s="55" t="str">
        <f t="shared" si="40"/>
        <v>4400570050004</v>
      </c>
      <c r="F258" s="55" t="b">
        <f t="shared" si="42"/>
        <v>1</v>
      </c>
      <c r="G258" s="139">
        <f t="shared" si="43"/>
        <v>45565</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1</v>
      </c>
      <c r="G259" s="139">
        <f t="shared" si="43"/>
        <v>45565</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1</v>
      </c>
      <c r="G260" s="139">
        <f t="shared" si="43"/>
        <v>45565</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1</v>
      </c>
      <c r="G261" s="139">
        <f t="shared" si="43"/>
        <v>45565</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1</v>
      </c>
      <c r="G262" s="139">
        <f t="shared" si="43"/>
        <v>45565</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1</v>
      </c>
      <c r="G263" s="139">
        <f t="shared" si="43"/>
        <v>45565</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1</v>
      </c>
      <c r="G264" s="139">
        <f t="shared" si="43"/>
        <v>45565</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1</v>
      </c>
      <c r="G265" s="139">
        <f t="shared" si="43"/>
        <v>45565</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1</v>
      </c>
      <c r="G266" s="139">
        <f t="shared" si="43"/>
        <v>45565</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1</v>
      </c>
      <c r="G267" s="139">
        <f t="shared" si="43"/>
        <v>45565</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1</v>
      </c>
      <c r="G268" s="139">
        <f t="shared" si="43"/>
        <v>45565</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1</v>
      </c>
      <c r="G269" s="139">
        <f t="shared" si="43"/>
        <v>45565</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1</v>
      </c>
      <c r="G270" s="139">
        <f t="shared" si="43"/>
        <v>45565</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1</v>
      </c>
      <c r="G271" s="139">
        <f t="shared" si="43"/>
        <v>45565</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1</v>
      </c>
      <c r="G272" s="139">
        <f t="shared" si="43"/>
        <v>45565</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516533</v>
      </c>
      <c r="N272" s="55">
        <f t="shared" ca="1" si="44"/>
        <v>516533</v>
      </c>
    </row>
    <row r="273" spans="1:14" x14ac:dyDescent="0.2">
      <c r="A273" s="105">
        <v>281</v>
      </c>
      <c r="B273" s="105" t="str">
        <f>VLOOKUP( $A273, Aop!$A$2:$P$453, 2, 0)</f>
        <v>BUb</v>
      </c>
      <c r="C273" s="55">
        <v>27</v>
      </c>
      <c r="D273" s="55" t="str">
        <f t="shared" si="39"/>
        <v>01814788</v>
      </c>
      <c r="E273" s="55" t="str">
        <f t="shared" si="40"/>
        <v>4400570050004</v>
      </c>
      <c r="F273" s="55" t="b">
        <f t="shared" si="42"/>
        <v>1</v>
      </c>
      <c r="G273" s="139">
        <f t="shared" si="43"/>
        <v>45565</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1</v>
      </c>
      <c r="G274" s="139">
        <f>Datum_Broj</f>
        <v>45565</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1</v>
      </c>
      <c r="G275" s="139">
        <f t="shared" si="43"/>
        <v>45565</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1</v>
      </c>
      <c r="G276" s="139">
        <f t="shared" si="43"/>
        <v>45565</v>
      </c>
      <c r="H276" s="105">
        <f>VLOOKUP( $A276, Aop!$A$2:$P$453, 4, 0)</f>
        <v>502</v>
      </c>
      <c r="I276" s="55">
        <f t="shared" si="41"/>
        <v>2024</v>
      </c>
      <c r="J276" s="55" t="str">
        <f t="shared" ca="1" si="46"/>
        <v/>
      </c>
      <c r="K276" s="55"/>
      <c r="L276" s="55"/>
      <c r="M276" s="55">
        <f t="shared" ca="1" si="47"/>
        <v>33761932</v>
      </c>
      <c r="N276" s="55">
        <f t="shared" ca="1" si="44"/>
        <v>33761932</v>
      </c>
    </row>
    <row r="277" spans="1:14" x14ac:dyDescent="0.2">
      <c r="A277" s="105">
        <v>286</v>
      </c>
      <c r="B277" s="105" t="str">
        <f>VLOOKUP( $A277, Aop!$A$2:$P$453, 2, 0)</f>
        <v>BTG</v>
      </c>
      <c r="C277" s="55">
        <v>29</v>
      </c>
      <c r="D277" s="55" t="str">
        <f t="shared" si="39"/>
        <v>01814788</v>
      </c>
      <c r="E277" s="55" t="str">
        <f t="shared" si="40"/>
        <v>4400570050004</v>
      </c>
      <c r="F277" s="55" t="b">
        <f t="shared" si="42"/>
        <v>1</v>
      </c>
      <c r="G277" s="139">
        <f t="shared" si="43"/>
        <v>45565</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1</v>
      </c>
      <c r="G278" s="139">
        <f t="shared" si="43"/>
        <v>45565</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1</v>
      </c>
      <c r="G279" s="139">
        <f t="shared" si="43"/>
        <v>45565</v>
      </c>
      <c r="H279" s="105">
        <f>VLOOKUP( $A279, Aop!$A$2:$P$453, 4, 0)</f>
        <v>505</v>
      </c>
      <c r="I279" s="55">
        <f t="shared" si="41"/>
        <v>2024</v>
      </c>
      <c r="J279" s="55" t="str">
        <f t="shared" ca="1" si="46"/>
        <v/>
      </c>
      <c r="K279" s="55"/>
      <c r="L279" s="55"/>
      <c r="M279" s="55">
        <f t="shared" ca="1" si="47"/>
        <v>226337</v>
      </c>
      <c r="N279" s="55">
        <f t="shared" ca="1" si="44"/>
        <v>226337</v>
      </c>
    </row>
    <row r="280" spans="1:14" x14ac:dyDescent="0.2">
      <c r="A280" s="105">
        <v>289</v>
      </c>
      <c r="B280" s="105" t="str">
        <f>VLOOKUP( $A280, Aop!$A$2:$P$453, 2, 0)</f>
        <v>BTG</v>
      </c>
      <c r="C280" s="55">
        <v>29</v>
      </c>
      <c r="D280" s="55" t="str">
        <f t="shared" si="39"/>
        <v>01814788</v>
      </c>
      <c r="E280" s="55" t="str">
        <f t="shared" si="40"/>
        <v>4400570050004</v>
      </c>
      <c r="F280" s="55" t="b">
        <f t="shared" si="42"/>
        <v>1</v>
      </c>
      <c r="G280" s="139">
        <f t="shared" si="43"/>
        <v>45565</v>
      </c>
      <c r="H280" s="105">
        <f>VLOOKUP( $A280, Aop!$A$2:$P$453, 4, 0)</f>
        <v>506</v>
      </c>
      <c r="I280" s="55">
        <f t="shared" si="41"/>
        <v>2024</v>
      </c>
      <c r="J280" s="55" t="str">
        <f t="shared" ca="1" si="46"/>
        <v/>
      </c>
      <c r="K280" s="55"/>
      <c r="L280" s="55"/>
      <c r="M280" s="55">
        <f t="shared" ca="1" si="47"/>
        <v>28443509</v>
      </c>
      <c r="N280" s="55">
        <f t="shared" ca="1" si="44"/>
        <v>28443509</v>
      </c>
    </row>
    <row r="281" spans="1:14" x14ac:dyDescent="0.2">
      <c r="A281" s="105">
        <v>290</v>
      </c>
      <c r="B281" s="105" t="str">
        <f>VLOOKUP( $A281, Aop!$A$2:$P$453, 2, 0)</f>
        <v>BTG</v>
      </c>
      <c r="C281" s="55">
        <v>29</v>
      </c>
      <c r="D281" s="55" t="str">
        <f t="shared" si="39"/>
        <v>01814788</v>
      </c>
      <c r="E281" s="55" t="str">
        <f t="shared" si="40"/>
        <v>4400570050004</v>
      </c>
      <c r="F281" s="55" t="b">
        <f t="shared" si="42"/>
        <v>1</v>
      </c>
      <c r="G281" s="139">
        <f t="shared" si="43"/>
        <v>45565</v>
      </c>
      <c r="H281" s="105">
        <f>VLOOKUP( $A281, Aop!$A$2:$P$453, 4, 0)</f>
        <v>507</v>
      </c>
      <c r="I281" s="55">
        <f t="shared" si="41"/>
        <v>2024</v>
      </c>
      <c r="J281" s="55" t="str">
        <f t="shared" ca="1" si="46"/>
        <v/>
      </c>
      <c r="K281" s="55"/>
      <c r="L281" s="55"/>
      <c r="M281" s="55">
        <f t="shared" ca="1" si="47"/>
        <v>12128287</v>
      </c>
      <c r="N281" s="55">
        <f t="shared" ca="1" si="44"/>
        <v>12128287</v>
      </c>
    </row>
    <row r="282" spans="1:14" x14ac:dyDescent="0.2">
      <c r="A282" s="105">
        <v>291</v>
      </c>
      <c r="B282" s="105" t="str">
        <f>VLOOKUP( $A282, Aop!$A$2:$P$453, 2, 0)</f>
        <v>BTG</v>
      </c>
      <c r="C282" s="55">
        <v>29</v>
      </c>
      <c r="D282" s="55" t="str">
        <f t="shared" si="39"/>
        <v>01814788</v>
      </c>
      <c r="E282" s="55" t="str">
        <f t="shared" si="40"/>
        <v>4400570050004</v>
      </c>
      <c r="F282" s="55" t="b">
        <f t="shared" si="42"/>
        <v>1</v>
      </c>
      <c r="G282" s="139">
        <f t="shared" si="43"/>
        <v>45565</v>
      </c>
      <c r="H282" s="105">
        <f>VLOOKUP( $A282, Aop!$A$2:$P$453, 4, 0)</f>
        <v>508</v>
      </c>
      <c r="I282" s="55">
        <f t="shared" si="41"/>
        <v>2024</v>
      </c>
      <c r="J282" s="55" t="str">
        <f t="shared" ca="1" si="46"/>
        <v/>
      </c>
      <c r="K282" s="55"/>
      <c r="L282" s="55"/>
      <c r="M282" s="55">
        <f t="shared" ca="1" si="47"/>
        <v>94700</v>
      </c>
      <c r="N282" s="55">
        <f t="shared" ca="1" si="44"/>
        <v>94700</v>
      </c>
    </row>
    <row r="283" spans="1:14" x14ac:dyDescent="0.2">
      <c r="A283" s="105">
        <v>292</v>
      </c>
      <c r="B283" s="105" t="str">
        <f>VLOOKUP( $A283, Aop!$A$2:$P$453, 2, 0)</f>
        <v>BTG</v>
      </c>
      <c r="C283" s="55">
        <v>29</v>
      </c>
      <c r="D283" s="55" t="str">
        <f t="shared" si="39"/>
        <v>01814788</v>
      </c>
      <c r="E283" s="55" t="str">
        <f t="shared" si="40"/>
        <v>4400570050004</v>
      </c>
      <c r="F283" s="55" t="b">
        <f t="shared" si="42"/>
        <v>1</v>
      </c>
      <c r="G283" s="139">
        <f t="shared" si="43"/>
        <v>45565</v>
      </c>
      <c r="H283" s="105">
        <f>VLOOKUP( $A283, Aop!$A$2:$P$453, 4, 0)</f>
        <v>509</v>
      </c>
      <c r="I283" s="55">
        <f t="shared" si="41"/>
        <v>2024</v>
      </c>
      <c r="J283" s="55" t="str">
        <f t="shared" ca="1" si="46"/>
        <v/>
      </c>
      <c r="K283" s="55"/>
      <c r="L283" s="55"/>
      <c r="M283" s="55">
        <f t="shared" ca="1" si="47"/>
        <v>533936</v>
      </c>
      <c r="N283" s="55">
        <f t="shared" ca="1" si="44"/>
        <v>533936</v>
      </c>
    </row>
    <row r="284" spans="1:14" x14ac:dyDescent="0.2">
      <c r="A284" s="105">
        <v>293</v>
      </c>
      <c r="B284" s="105" t="str">
        <f>VLOOKUP( $A284, Aop!$A$2:$P$453, 2, 0)</f>
        <v>BTG</v>
      </c>
      <c r="C284" s="55">
        <v>29</v>
      </c>
      <c r="D284" s="55" t="str">
        <f t="shared" si="39"/>
        <v>01814788</v>
      </c>
      <c r="E284" s="55" t="str">
        <f t="shared" si="40"/>
        <v>4400570050004</v>
      </c>
      <c r="F284" s="55" t="b">
        <f t="shared" si="42"/>
        <v>1</v>
      </c>
      <c r="G284" s="139">
        <f t="shared" si="43"/>
        <v>45565</v>
      </c>
      <c r="H284" s="105">
        <f>VLOOKUP( $A284, Aop!$A$2:$P$453, 4, 0)</f>
        <v>510</v>
      </c>
      <c r="I284" s="55">
        <f t="shared" si="41"/>
        <v>2024</v>
      </c>
      <c r="J284" s="55" t="str">
        <f t="shared" ca="1" si="46"/>
        <v/>
      </c>
      <c r="K284" s="55"/>
      <c r="L284" s="55"/>
      <c r="M284" s="55">
        <f t="shared" ca="1" si="47"/>
        <v>12352991</v>
      </c>
      <c r="N284" s="55">
        <f t="shared" ca="1" si="44"/>
        <v>12352991</v>
      </c>
    </row>
    <row r="285" spans="1:14" x14ac:dyDescent="0.2">
      <c r="A285" s="105">
        <v>294</v>
      </c>
      <c r="B285" s="105" t="str">
        <f>VLOOKUP( $A285, Aop!$A$2:$P$453, 2, 0)</f>
        <v>BTG</v>
      </c>
      <c r="C285" s="55">
        <v>29</v>
      </c>
      <c r="D285" s="55" t="str">
        <f t="shared" si="39"/>
        <v>01814788</v>
      </c>
      <c r="E285" s="55" t="str">
        <f t="shared" si="40"/>
        <v>4400570050004</v>
      </c>
      <c r="F285" s="55" t="b">
        <f t="shared" si="42"/>
        <v>1</v>
      </c>
      <c r="G285" s="139">
        <f t="shared" si="43"/>
        <v>45565</v>
      </c>
      <c r="H285" s="105">
        <f>VLOOKUP( $A285, Aop!$A$2:$P$453, 4, 0)</f>
        <v>511</v>
      </c>
      <c r="I285" s="55">
        <f t="shared" si="41"/>
        <v>2024</v>
      </c>
      <c r="J285" s="55" t="str">
        <f t="shared" ca="1" si="46"/>
        <v/>
      </c>
      <c r="K285" s="55"/>
      <c r="L285" s="55"/>
      <c r="M285" s="55">
        <f t="shared" ca="1" si="47"/>
        <v>334116</v>
      </c>
      <c r="N285" s="55">
        <f t="shared" ca="1" si="44"/>
        <v>334116</v>
      </c>
    </row>
    <row r="286" spans="1:14" x14ac:dyDescent="0.2">
      <c r="A286" s="105">
        <v>295</v>
      </c>
      <c r="B286" s="105" t="str">
        <f>VLOOKUP( $A286, Aop!$A$2:$P$453, 2, 0)</f>
        <v>BTG</v>
      </c>
      <c r="C286" s="55">
        <v>29</v>
      </c>
      <c r="D286" s="55" t="str">
        <f t="shared" si="39"/>
        <v>01814788</v>
      </c>
      <c r="E286" s="55" t="str">
        <f t="shared" si="40"/>
        <v>4400570050004</v>
      </c>
      <c r="F286" s="55" t="b">
        <f t="shared" si="42"/>
        <v>1</v>
      </c>
      <c r="G286" s="139">
        <f t="shared" si="43"/>
        <v>45565</v>
      </c>
      <c r="H286" s="105">
        <f>VLOOKUP( $A286, Aop!$A$2:$P$453, 4, 0)</f>
        <v>512</v>
      </c>
      <c r="I286" s="55">
        <f t="shared" si="41"/>
        <v>2024</v>
      </c>
      <c r="J286" s="55" t="str">
        <f t="shared" ca="1" si="46"/>
        <v/>
      </c>
      <c r="K286" s="55"/>
      <c r="L286" s="55"/>
      <c r="M286" s="55">
        <f t="shared" ca="1" si="47"/>
        <v>2999479</v>
      </c>
      <c r="N286" s="55">
        <f t="shared" ca="1" si="44"/>
        <v>2999479</v>
      </c>
    </row>
    <row r="287" spans="1:14" x14ac:dyDescent="0.2">
      <c r="A287" s="105">
        <v>296</v>
      </c>
      <c r="B287" s="105" t="str">
        <f>VLOOKUP( $A287, Aop!$A$2:$P$453, 2, 0)</f>
        <v>BTG</v>
      </c>
      <c r="C287" s="55">
        <v>29</v>
      </c>
      <c r="D287" s="55" t="str">
        <f t="shared" si="39"/>
        <v>01814788</v>
      </c>
      <c r="E287" s="55" t="str">
        <f t="shared" si="40"/>
        <v>4400570050004</v>
      </c>
      <c r="F287" s="55" t="b">
        <f t="shared" si="42"/>
        <v>1</v>
      </c>
      <c r="G287" s="139">
        <f t="shared" si="43"/>
        <v>45565</v>
      </c>
      <c r="H287" s="105">
        <f>VLOOKUP( $A287, Aop!$A$2:$P$453, 4, 0)</f>
        <v>513</v>
      </c>
      <c r="I287" s="55">
        <f t="shared" si="41"/>
        <v>2024</v>
      </c>
      <c r="J287" s="55" t="str">
        <f t="shared" ca="1" si="46"/>
        <v/>
      </c>
      <c r="K287" s="55"/>
      <c r="L287" s="55"/>
      <c r="M287" s="55">
        <f t="shared" ca="1" si="47"/>
        <v>5544760</v>
      </c>
      <c r="N287" s="55">
        <f t="shared" ca="1" si="44"/>
        <v>5544760</v>
      </c>
    </row>
    <row r="288" spans="1:14" x14ac:dyDescent="0.2">
      <c r="A288" s="105">
        <v>297</v>
      </c>
      <c r="B288" s="105" t="str">
        <f>VLOOKUP( $A288, Aop!$A$2:$P$453, 2, 0)</f>
        <v>BTG</v>
      </c>
      <c r="C288" s="55">
        <v>29</v>
      </c>
      <c r="D288" s="55" t="str">
        <f t="shared" si="39"/>
        <v>01814788</v>
      </c>
      <c r="E288" s="55" t="str">
        <f t="shared" si="40"/>
        <v>4400570050004</v>
      </c>
      <c r="F288" s="55" t="b">
        <f t="shared" si="42"/>
        <v>1</v>
      </c>
      <c r="G288" s="139">
        <f t="shared" si="43"/>
        <v>45565</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1</v>
      </c>
      <c r="G289" s="139">
        <f t="shared" si="43"/>
        <v>45565</v>
      </c>
      <c r="H289" s="105">
        <f>VLOOKUP( $A289, Aop!$A$2:$P$453, 4, 0)</f>
        <v>515</v>
      </c>
      <c r="I289" s="55">
        <f t="shared" si="41"/>
        <v>2024</v>
      </c>
      <c r="J289" s="55" t="str">
        <f t="shared" ca="1" si="46"/>
        <v/>
      </c>
      <c r="K289" s="55"/>
      <c r="L289" s="55"/>
      <c r="M289" s="55">
        <f t="shared" ca="1" si="47"/>
        <v>18655</v>
      </c>
      <c r="N289" s="55">
        <f t="shared" ca="1" si="44"/>
        <v>18655</v>
      </c>
    </row>
    <row r="290" spans="1:14" x14ac:dyDescent="0.2">
      <c r="A290" s="105">
        <v>300</v>
      </c>
      <c r="B290" s="105" t="str">
        <f>VLOOKUP( $A290, Aop!$A$2:$P$453, 2, 0)</f>
        <v>BTG</v>
      </c>
      <c r="C290" s="55">
        <v>29</v>
      </c>
      <c r="D290" s="55" t="str">
        <f t="shared" si="39"/>
        <v>01814788</v>
      </c>
      <c r="E290" s="55" t="str">
        <f t="shared" si="40"/>
        <v>4400570050004</v>
      </c>
      <c r="F290" s="55" t="b">
        <f t="shared" si="42"/>
        <v>1</v>
      </c>
      <c r="G290" s="139">
        <f t="shared" si="43"/>
        <v>45565</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1</v>
      </c>
      <c r="G291" s="139">
        <f t="shared" si="43"/>
        <v>45565</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1</v>
      </c>
      <c r="G292" s="139">
        <f t="shared" si="43"/>
        <v>45565</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1</v>
      </c>
      <c r="G293" s="139">
        <f t="shared" si="43"/>
        <v>45565</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1</v>
      </c>
      <c r="G294" s="139">
        <f t="shared" si="43"/>
        <v>45565</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1</v>
      </c>
      <c r="G295" s="139">
        <f t="shared" si="43"/>
        <v>45565</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1</v>
      </c>
      <c r="G296" s="139">
        <f t="shared" si="43"/>
        <v>45565</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1</v>
      </c>
      <c r="G297" s="139">
        <f t="shared" si="43"/>
        <v>45565</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1</v>
      </c>
      <c r="G298" s="139">
        <f t="shared" si="43"/>
        <v>45565</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1</v>
      </c>
      <c r="G299" s="139">
        <f t="shared" si="43"/>
        <v>45565</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1</v>
      </c>
      <c r="G300" s="139">
        <f t="shared" si="43"/>
        <v>45565</v>
      </c>
      <c r="H300" s="105">
        <f>VLOOKUP( $A300, Aop!$A$2:$P$453, 4, 0)</f>
        <v>527</v>
      </c>
      <c r="I300" s="55">
        <f t="shared" si="41"/>
        <v>2024</v>
      </c>
      <c r="J300" s="55" t="str">
        <f t="shared" ca="1" si="46"/>
        <v/>
      </c>
      <c r="K300" s="55"/>
      <c r="L300" s="55"/>
      <c r="M300" s="55">
        <f t="shared" ca="1" si="47"/>
        <v>18655</v>
      </c>
      <c r="N300" s="55">
        <f t="shared" ca="1" si="44"/>
        <v>18655</v>
      </c>
    </row>
    <row r="301" spans="1:14" x14ac:dyDescent="0.2">
      <c r="A301" s="105">
        <v>311</v>
      </c>
      <c r="B301" s="105" t="str">
        <f>VLOOKUP( $A301, Aop!$A$2:$P$453, 2, 0)</f>
        <v>BTG</v>
      </c>
      <c r="C301" s="55">
        <v>29</v>
      </c>
      <c r="D301" s="55" t="str">
        <f t="shared" si="39"/>
        <v>01814788</v>
      </c>
      <c r="E301" s="55" t="str">
        <f t="shared" si="40"/>
        <v>4400570050004</v>
      </c>
      <c r="F301" s="55" t="b">
        <f t="shared" si="42"/>
        <v>1</v>
      </c>
      <c r="G301" s="139">
        <f t="shared" si="43"/>
        <v>45565</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1</v>
      </c>
      <c r="G302" s="139">
        <f t="shared" si="43"/>
        <v>45565</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1</v>
      </c>
      <c r="G303" s="139">
        <f t="shared" si="43"/>
        <v>45565</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01814788</v>
      </c>
      <c r="E304" s="55" t="str">
        <f t="shared" si="40"/>
        <v>4400570050004</v>
      </c>
      <c r="F304" s="55" t="b">
        <f t="shared" si="42"/>
        <v>1</v>
      </c>
      <c r="G304" s="139">
        <f t="shared" si="43"/>
        <v>45565</v>
      </c>
      <c r="H304" s="105">
        <f>VLOOKUP( $A304, Aop!$A$2:$P$453, 4, 0)</f>
        <v>531</v>
      </c>
      <c r="I304" s="55">
        <f t="shared" si="41"/>
        <v>2024</v>
      </c>
      <c r="J304" s="55" t="str">
        <f t="shared" ca="1" si="46"/>
        <v/>
      </c>
      <c r="K304" s="55"/>
      <c r="L304" s="55"/>
      <c r="M304" s="55">
        <f t="shared" ca="1" si="47"/>
        <v>3969101</v>
      </c>
      <c r="N304" s="55">
        <f t="shared" ca="1" si="44"/>
        <v>3969101</v>
      </c>
    </row>
    <row r="305" spans="1:14" x14ac:dyDescent="0.2">
      <c r="A305" s="105">
        <v>315</v>
      </c>
      <c r="B305" s="105" t="str">
        <f>VLOOKUP( $A305, Aop!$A$2:$P$453, 2, 0)</f>
        <v>BTG</v>
      </c>
      <c r="C305" s="55">
        <v>29</v>
      </c>
      <c r="D305" s="55" t="str">
        <f t="shared" si="39"/>
        <v>01814788</v>
      </c>
      <c r="E305" s="55" t="str">
        <f t="shared" si="40"/>
        <v>4400570050004</v>
      </c>
      <c r="F305" s="55" t="b">
        <f t="shared" si="42"/>
        <v>1</v>
      </c>
      <c r="G305" s="139">
        <f t="shared" si="43"/>
        <v>45565</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1</v>
      </c>
      <c r="G306" s="139">
        <f t="shared" si="43"/>
        <v>45565</v>
      </c>
      <c r="H306" s="105">
        <f>VLOOKUP( $A306, Aop!$A$2:$P$453, 4, 0)</f>
        <v>533</v>
      </c>
      <c r="I306" s="55">
        <f t="shared" si="41"/>
        <v>2024</v>
      </c>
      <c r="J306" s="55" t="str">
        <f t="shared" ca="1" si="46"/>
        <v/>
      </c>
      <c r="K306" s="55"/>
      <c r="L306" s="55"/>
      <c r="M306" s="55">
        <f t="shared" ca="1" si="47"/>
        <v>3969101</v>
      </c>
      <c r="N306" s="55">
        <f t="shared" ca="1" si="44"/>
        <v>3969101</v>
      </c>
    </row>
    <row r="307" spans="1:14" x14ac:dyDescent="0.2">
      <c r="A307" s="105">
        <v>317</v>
      </c>
      <c r="B307" s="105" t="str">
        <f>VLOOKUP( $A307, Aop!$A$2:$P$453, 2, 0)</f>
        <v>BTG</v>
      </c>
      <c r="C307" s="55">
        <v>29</v>
      </c>
      <c r="D307" s="55" t="str">
        <f t="shared" si="39"/>
        <v>01814788</v>
      </c>
      <c r="E307" s="55" t="str">
        <f t="shared" si="40"/>
        <v>4400570050004</v>
      </c>
      <c r="F307" s="55" t="b">
        <f t="shared" si="42"/>
        <v>1</v>
      </c>
      <c r="G307" s="139">
        <f t="shared" si="43"/>
        <v>45565</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1</v>
      </c>
      <c r="G308" s="139">
        <f t="shared" si="43"/>
        <v>45565</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1</v>
      </c>
      <c r="G309" s="139">
        <f t="shared" si="43"/>
        <v>45565</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1</v>
      </c>
      <c r="G310" s="139">
        <f t="shared" si="43"/>
        <v>45565</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1</v>
      </c>
      <c r="G311" s="139">
        <f t="shared" si="43"/>
        <v>45565</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1</v>
      </c>
      <c r="G312" s="139">
        <f t="shared" ref="G312:G356" si="52">Datum_Broj</f>
        <v>45565</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1</v>
      </c>
      <c r="G313" s="139">
        <f t="shared" si="52"/>
        <v>45565</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1</v>
      </c>
      <c r="G314" s="139">
        <f t="shared" si="52"/>
        <v>45565</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1</v>
      </c>
      <c r="G315" s="139">
        <f t="shared" si="52"/>
        <v>45565</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1</v>
      </c>
      <c r="G316" s="139">
        <f t="shared" si="52"/>
        <v>45565</v>
      </c>
      <c r="H316" s="105">
        <f>VLOOKUP( $A316, Aop!$A$2:$P$453, 4, 0)</f>
        <v>543</v>
      </c>
      <c r="I316" s="55">
        <f t="shared" si="50"/>
        <v>2024</v>
      </c>
      <c r="J316" s="55" t="str">
        <f t="shared" ca="1" si="46"/>
        <v/>
      </c>
      <c r="K316" s="55"/>
      <c r="L316" s="55"/>
      <c r="M316" s="55">
        <f t="shared" ca="1" si="47"/>
        <v>3950446</v>
      </c>
      <c r="N316" s="55">
        <f t="shared" ca="1" si="44"/>
        <v>3950446</v>
      </c>
    </row>
    <row r="317" spans="1:14" x14ac:dyDescent="0.2">
      <c r="A317" s="105">
        <v>327</v>
      </c>
      <c r="B317" s="105" t="str">
        <f>VLOOKUP( $A317, Aop!$A$2:$P$453, 2, 0)</f>
        <v>BTG</v>
      </c>
      <c r="C317" s="55">
        <v>29</v>
      </c>
      <c r="D317" s="55" t="str">
        <f t="shared" si="48"/>
        <v>01814788</v>
      </c>
      <c r="E317" s="55" t="str">
        <f t="shared" si="49"/>
        <v>4400570050004</v>
      </c>
      <c r="F317" s="55" t="b">
        <f t="shared" si="51"/>
        <v>1</v>
      </c>
      <c r="G317" s="139">
        <f t="shared" si="52"/>
        <v>45565</v>
      </c>
      <c r="H317" s="105">
        <f>VLOOKUP( $A317, Aop!$A$2:$P$453, 4, 0)</f>
        <v>544</v>
      </c>
      <c r="I317" s="55">
        <f t="shared" si="50"/>
        <v>2024</v>
      </c>
      <c r="J317" s="55" t="str">
        <f t="shared" ca="1" si="46"/>
        <v/>
      </c>
      <c r="K317" s="55"/>
      <c r="L317" s="55"/>
      <c r="M317" s="55">
        <f t="shared" ca="1" si="47"/>
        <v>9535098</v>
      </c>
      <c r="N317" s="55">
        <f t="shared" ca="1" si="44"/>
        <v>9535098</v>
      </c>
    </row>
    <row r="318" spans="1:14" x14ac:dyDescent="0.2">
      <c r="A318" s="105">
        <v>328</v>
      </c>
      <c r="B318" s="105" t="str">
        <f>VLOOKUP( $A318, Aop!$A$2:$P$453, 2, 0)</f>
        <v>BTG</v>
      </c>
      <c r="C318" s="55">
        <v>29</v>
      </c>
      <c r="D318" s="55" t="str">
        <f t="shared" si="48"/>
        <v>01814788</v>
      </c>
      <c r="E318" s="55" t="str">
        <f t="shared" si="49"/>
        <v>4400570050004</v>
      </c>
      <c r="F318" s="55" t="b">
        <f t="shared" si="51"/>
        <v>1</v>
      </c>
      <c r="G318" s="139">
        <f t="shared" si="52"/>
        <v>45565</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1</v>
      </c>
      <c r="G319" s="139">
        <f t="shared" si="52"/>
        <v>45565</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1</v>
      </c>
      <c r="G320" s="139">
        <f t="shared" si="52"/>
        <v>45565</v>
      </c>
      <c r="H320" s="105">
        <f>VLOOKUP( $A320, Aop!$A$2:$P$453, 4, 0)</f>
        <v>547</v>
      </c>
      <c r="I320" s="55">
        <f t="shared" si="50"/>
        <v>2024</v>
      </c>
      <c r="J320" s="55" t="str">
        <f t="shared" ca="1" si="46"/>
        <v/>
      </c>
      <c r="K320" s="55"/>
      <c r="L320" s="55"/>
      <c r="M320" s="55">
        <f t="shared" ca="1" si="47"/>
        <v>9535098</v>
      </c>
      <c r="N320" s="55">
        <f t="shared" ca="1" si="44"/>
        <v>9535098</v>
      </c>
    </row>
    <row r="321" spans="1:14" x14ac:dyDescent="0.2">
      <c r="A321" s="105">
        <v>331</v>
      </c>
      <c r="B321" s="105" t="str">
        <f>VLOOKUP( $A321, Aop!$A$2:$P$453, 2, 0)</f>
        <v>BTG</v>
      </c>
      <c r="C321" s="55">
        <v>29</v>
      </c>
      <c r="D321" s="55" t="str">
        <f t="shared" si="48"/>
        <v>01814788</v>
      </c>
      <c r="E321" s="55" t="str">
        <f t="shared" si="49"/>
        <v>4400570050004</v>
      </c>
      <c r="F321" s="55" t="b">
        <f t="shared" si="51"/>
        <v>1</v>
      </c>
      <c r="G321" s="139">
        <f t="shared" si="52"/>
        <v>45565</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1</v>
      </c>
      <c r="G322" s="139">
        <f t="shared" si="52"/>
        <v>45565</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1</v>
      </c>
      <c r="G323" s="139">
        <f t="shared" si="52"/>
        <v>45565</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1</v>
      </c>
      <c r="G324" s="139">
        <f t="shared" si="52"/>
        <v>45565</v>
      </c>
      <c r="H324" s="105">
        <f>VLOOKUP( $A324, Aop!$A$2:$P$453, 4, 0)</f>
        <v>551</v>
      </c>
      <c r="I324" s="55">
        <f t="shared" si="50"/>
        <v>2024</v>
      </c>
      <c r="J324" s="55" t="str">
        <f t="shared" ca="1" si="46"/>
        <v/>
      </c>
      <c r="K324" s="55"/>
      <c r="L324" s="55"/>
      <c r="M324" s="55">
        <f t="shared" ca="1" si="47"/>
        <v>12242438</v>
      </c>
      <c r="N324" s="55">
        <f t="shared" ca="1" si="53"/>
        <v>12242438</v>
      </c>
    </row>
    <row r="325" spans="1:14" x14ac:dyDescent="0.2">
      <c r="A325" s="105">
        <v>335</v>
      </c>
      <c r="B325" s="105" t="str">
        <f>VLOOKUP( $A325, Aop!$A$2:$P$453, 2, 0)</f>
        <v>BTG</v>
      </c>
      <c r="C325" s="55">
        <v>29</v>
      </c>
      <c r="D325" s="55" t="str">
        <f t="shared" si="48"/>
        <v>01814788</v>
      </c>
      <c r="E325" s="55" t="str">
        <f t="shared" si="49"/>
        <v>4400570050004</v>
      </c>
      <c r="F325" s="55" t="b">
        <f t="shared" si="51"/>
        <v>1</v>
      </c>
      <c r="G325" s="139">
        <f t="shared" si="52"/>
        <v>45565</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1</v>
      </c>
      <c r="G326" s="139">
        <f t="shared" si="52"/>
        <v>45565</v>
      </c>
      <c r="H326" s="105">
        <f>VLOOKUP( $A326, Aop!$A$2:$P$453, 4, 0)</f>
        <v>553</v>
      </c>
      <c r="I326" s="55">
        <f t="shared" si="50"/>
        <v>2024</v>
      </c>
      <c r="J326" s="55" t="str">
        <f t="shared" ca="1" si="46"/>
        <v/>
      </c>
      <c r="K326" s="55"/>
      <c r="L326" s="55"/>
      <c r="M326" s="55">
        <f t="shared" ca="1" si="47"/>
        <v>11548405</v>
      </c>
      <c r="N326" s="55">
        <f t="shared" ca="1" si="53"/>
        <v>11548405</v>
      </c>
    </row>
    <row r="327" spans="1:14" x14ac:dyDescent="0.2">
      <c r="A327" s="105">
        <v>337</v>
      </c>
      <c r="B327" s="105" t="str">
        <f>VLOOKUP( $A327, Aop!$A$2:$P$453, 2, 0)</f>
        <v>BTG</v>
      </c>
      <c r="C327" s="55">
        <v>29</v>
      </c>
      <c r="D327" s="55" t="str">
        <f t="shared" si="48"/>
        <v>01814788</v>
      </c>
      <c r="E327" s="55" t="str">
        <f t="shared" si="49"/>
        <v>4400570050004</v>
      </c>
      <c r="F327" s="55" t="b">
        <f t="shared" si="51"/>
        <v>1</v>
      </c>
      <c r="G327" s="139">
        <f t="shared" si="52"/>
        <v>45565</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1</v>
      </c>
      <c r="G328" s="139">
        <f t="shared" si="52"/>
        <v>45565</v>
      </c>
      <c r="H328" s="105">
        <f>VLOOKUP( $A328, Aop!$A$2:$P$453, 4, 0)</f>
        <v>555</v>
      </c>
      <c r="I328" s="55">
        <f t="shared" si="50"/>
        <v>2024</v>
      </c>
      <c r="J328" s="55" t="str">
        <f t="shared" ca="1" si="46"/>
        <v/>
      </c>
      <c r="K328" s="55"/>
      <c r="L328" s="55"/>
      <c r="M328" s="55">
        <f t="shared" ca="1" si="47"/>
        <v>23501</v>
      </c>
      <c r="N328" s="55">
        <f t="shared" ca="1" si="53"/>
        <v>23501</v>
      </c>
    </row>
    <row r="329" spans="1:14" x14ac:dyDescent="0.2">
      <c r="A329" s="105">
        <v>339</v>
      </c>
      <c r="B329" s="105" t="str">
        <f>VLOOKUP( $A329, Aop!$A$2:$P$453, 2, 0)</f>
        <v>BTG</v>
      </c>
      <c r="C329" s="55">
        <v>29</v>
      </c>
      <c r="D329" s="55" t="str">
        <f t="shared" si="48"/>
        <v>01814788</v>
      </c>
      <c r="E329" s="55" t="str">
        <f t="shared" si="49"/>
        <v>4400570050004</v>
      </c>
      <c r="F329" s="55" t="b">
        <f t="shared" si="51"/>
        <v>1</v>
      </c>
      <c r="G329" s="139">
        <f t="shared" si="52"/>
        <v>45565</v>
      </c>
      <c r="H329" s="105">
        <f>VLOOKUP( $A329, Aop!$A$2:$P$453, 4, 0)</f>
        <v>556</v>
      </c>
      <c r="I329" s="55">
        <f t="shared" si="50"/>
        <v>2024</v>
      </c>
      <c r="J329" s="55" t="str">
        <f t="shared" ca="1" si="46"/>
        <v/>
      </c>
      <c r="K329" s="55"/>
      <c r="L329" s="55"/>
      <c r="M329" s="55">
        <f t="shared" ca="1" si="47"/>
        <v>670532</v>
      </c>
      <c r="N329" s="55">
        <f t="shared" ca="1" si="53"/>
        <v>670532</v>
      </c>
    </row>
    <row r="330" spans="1:14" x14ac:dyDescent="0.2">
      <c r="A330" s="105">
        <v>340</v>
      </c>
      <c r="B330" s="105" t="str">
        <f>VLOOKUP( $A330, Aop!$A$2:$P$453, 2, 0)</f>
        <v>BTG</v>
      </c>
      <c r="C330" s="55">
        <v>29</v>
      </c>
      <c r="D330" s="55" t="str">
        <f t="shared" si="48"/>
        <v>01814788</v>
      </c>
      <c r="E330" s="55" t="str">
        <f t="shared" si="49"/>
        <v>4400570050004</v>
      </c>
      <c r="F330" s="55" t="b">
        <f t="shared" si="51"/>
        <v>1</v>
      </c>
      <c r="G330" s="139">
        <f t="shared" si="52"/>
        <v>45565</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1</v>
      </c>
      <c r="G331" s="139">
        <f t="shared" si="52"/>
        <v>45565</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1</v>
      </c>
      <c r="G332" s="139">
        <f t="shared" si="52"/>
        <v>45565</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1</v>
      </c>
      <c r="G333" s="139">
        <f t="shared" si="52"/>
        <v>45565</v>
      </c>
      <c r="H333" s="105">
        <f>VLOOKUP( $A333, Aop!$A$2:$P$453, 4, 0)</f>
        <v>560</v>
      </c>
      <c r="I333" s="55">
        <f t="shared" si="50"/>
        <v>2024</v>
      </c>
      <c r="J333" s="55" t="str">
        <f t="shared" ca="1" si="54"/>
        <v/>
      </c>
      <c r="K333" s="55"/>
      <c r="L333" s="55"/>
      <c r="M333" s="55">
        <f t="shared" ca="1" si="47"/>
        <v>2707340</v>
      </c>
      <c r="N333" s="55">
        <f t="shared" ca="1" si="53"/>
        <v>2707340</v>
      </c>
    </row>
    <row r="334" spans="1:14" x14ac:dyDescent="0.2">
      <c r="A334" s="105">
        <v>344</v>
      </c>
      <c r="B334" s="105" t="str">
        <f>VLOOKUP( $A334, Aop!$A$2:$P$453, 2, 0)</f>
        <v>BTG</v>
      </c>
      <c r="C334" s="55">
        <v>29</v>
      </c>
      <c r="D334" s="55" t="str">
        <f t="shared" si="48"/>
        <v>01814788</v>
      </c>
      <c r="E334" s="55" t="str">
        <f t="shared" si="49"/>
        <v>4400570050004</v>
      </c>
      <c r="F334" s="55" t="b">
        <f t="shared" si="51"/>
        <v>1</v>
      </c>
      <c r="G334" s="139">
        <f t="shared" si="52"/>
        <v>45565</v>
      </c>
      <c r="H334" s="105">
        <f>VLOOKUP( $A334, Aop!$A$2:$P$453, 4, 0)</f>
        <v>561</v>
      </c>
      <c r="I334" s="55">
        <f t="shared" si="50"/>
        <v>2024</v>
      </c>
      <c r="J334" s="55" t="str">
        <f t="shared" ca="1" si="54"/>
        <v/>
      </c>
      <c r="K334" s="55"/>
      <c r="L334" s="55"/>
      <c r="M334" s="55">
        <f t="shared" ca="1" si="47"/>
        <v>43542022</v>
      </c>
      <c r="N334" s="55">
        <f t="shared" ca="1" si="53"/>
        <v>43542022</v>
      </c>
    </row>
    <row r="335" spans="1:14" x14ac:dyDescent="0.2">
      <c r="A335" s="105">
        <v>345</v>
      </c>
      <c r="B335" s="105" t="str">
        <f>VLOOKUP( $A335, Aop!$A$2:$P$453, 2, 0)</f>
        <v>BTG</v>
      </c>
      <c r="C335" s="55">
        <v>29</v>
      </c>
      <c r="D335" s="55" t="str">
        <f t="shared" si="48"/>
        <v>01814788</v>
      </c>
      <c r="E335" s="55" t="str">
        <f t="shared" si="49"/>
        <v>4400570050004</v>
      </c>
      <c r="F335" s="55" t="b">
        <f t="shared" si="51"/>
        <v>1</v>
      </c>
      <c r="G335" s="139">
        <f t="shared" si="52"/>
        <v>45565</v>
      </c>
      <c r="H335" s="105">
        <f>VLOOKUP( $A335, Aop!$A$2:$P$453, 4, 0)</f>
        <v>562</v>
      </c>
      <c r="I335" s="55">
        <f t="shared" si="50"/>
        <v>2024</v>
      </c>
      <c r="J335" s="55" t="str">
        <f t="shared" ca="1" si="54"/>
        <v/>
      </c>
      <c r="K335" s="55"/>
      <c r="L335" s="55"/>
      <c r="M335" s="55">
        <f t="shared" ca="1" si="47"/>
        <v>44655048</v>
      </c>
      <c r="N335" s="55">
        <f t="shared" ca="1" si="53"/>
        <v>44655048</v>
      </c>
    </row>
    <row r="336" spans="1:14" x14ac:dyDescent="0.2">
      <c r="A336" s="105">
        <v>346</v>
      </c>
      <c r="B336" s="105" t="str">
        <f>VLOOKUP( $A336, Aop!$A$2:$P$453, 2, 0)</f>
        <v>BTG</v>
      </c>
      <c r="C336" s="55">
        <v>29</v>
      </c>
      <c r="D336" s="55" t="str">
        <f t="shared" si="48"/>
        <v>01814788</v>
      </c>
      <c r="E336" s="55" t="str">
        <f t="shared" si="49"/>
        <v>4400570050004</v>
      </c>
      <c r="F336" s="55" t="b">
        <f t="shared" si="51"/>
        <v>1</v>
      </c>
      <c r="G336" s="139">
        <f t="shared" si="52"/>
        <v>45565</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01814788</v>
      </c>
      <c r="E337" s="55" t="str">
        <f t="shared" si="49"/>
        <v>4400570050004</v>
      </c>
      <c r="F337" s="55" t="b">
        <f t="shared" si="51"/>
        <v>1</v>
      </c>
      <c r="G337" s="139">
        <f t="shared" si="52"/>
        <v>45565</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1113026</v>
      </c>
      <c r="N337" s="55">
        <f t="shared" ca="1" si="53"/>
        <v>1113026</v>
      </c>
    </row>
    <row r="338" spans="1:14" x14ac:dyDescent="0.2">
      <c r="A338" s="105">
        <v>348</v>
      </c>
      <c r="B338" s="105" t="str">
        <f>VLOOKUP( $A338, Aop!$A$2:$P$453, 2, 0)</f>
        <v>BTG</v>
      </c>
      <c r="C338" s="55">
        <v>29</v>
      </c>
      <c r="D338" s="55" t="str">
        <f t="shared" si="48"/>
        <v>01814788</v>
      </c>
      <c r="E338" s="55" t="str">
        <f t="shared" si="49"/>
        <v>4400570050004</v>
      </c>
      <c r="F338" s="55" t="b">
        <f t="shared" si="51"/>
        <v>1</v>
      </c>
      <c r="G338" s="139">
        <f t="shared" si="52"/>
        <v>45565</v>
      </c>
      <c r="H338" s="105">
        <f>VLOOKUP( $A338, Aop!$A$2:$P$453, 4, 0)</f>
        <v>565</v>
      </c>
      <c r="I338" s="55">
        <f t="shared" si="50"/>
        <v>2024</v>
      </c>
      <c r="J338" s="55" t="str">
        <f t="shared" ca="1" si="54"/>
        <v/>
      </c>
      <c r="K338" s="55"/>
      <c r="L338" s="55"/>
      <c r="M338" s="55">
        <f t="shared" ca="1" si="55"/>
        <v>3927221</v>
      </c>
      <c r="N338" s="55">
        <f t="shared" ca="1" si="53"/>
        <v>3927221</v>
      </c>
    </row>
    <row r="339" spans="1:14" x14ac:dyDescent="0.2">
      <c r="A339" s="105">
        <v>349</v>
      </c>
      <c r="B339" s="105" t="str">
        <f>VLOOKUP( $A339, Aop!$A$2:$P$453, 2, 0)</f>
        <v>BTG</v>
      </c>
      <c r="C339" s="55">
        <v>29</v>
      </c>
      <c r="D339" s="55" t="str">
        <f t="shared" si="48"/>
        <v>01814788</v>
      </c>
      <c r="E339" s="55" t="str">
        <f t="shared" si="49"/>
        <v>4400570050004</v>
      </c>
      <c r="F339" s="55" t="b">
        <f t="shared" si="51"/>
        <v>1</v>
      </c>
      <c r="G339" s="139">
        <f t="shared" si="52"/>
        <v>45565</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1</v>
      </c>
      <c r="G340" s="139">
        <f t="shared" si="52"/>
        <v>45565</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1</v>
      </c>
      <c r="G341" s="139">
        <f t="shared" si="52"/>
        <v>45565</v>
      </c>
      <c r="H341" s="105">
        <f>VLOOKUP( $A341, Aop!$A$2:$P$453, 4, 0)</f>
        <v>568</v>
      </c>
      <c r="I341" s="55">
        <f t="shared" si="50"/>
        <v>2024</v>
      </c>
      <c r="J341" s="55" t="str">
        <f t="shared" ca="1" si="54"/>
        <v/>
      </c>
      <c r="K341" s="55"/>
      <c r="L341" s="55"/>
      <c r="M341" s="55">
        <f t="shared" ca="1" si="55"/>
        <v>2814195</v>
      </c>
      <c r="N341" s="55">
        <f t="shared" ca="1" si="53"/>
        <v>2814195</v>
      </c>
    </row>
    <row r="342" spans="1:14" x14ac:dyDescent="0.2">
      <c r="A342" s="105">
        <v>352</v>
      </c>
      <c r="B342" s="55" t="str">
        <f>VLOOKUP( $A342, Aop!$A$2:$P$453, 2, 0)</f>
        <v>Aneks</v>
      </c>
      <c r="C342" s="55">
        <v>28</v>
      </c>
      <c r="D342" s="55" t="str">
        <f>Podatak_MB</f>
        <v>01814788</v>
      </c>
      <c r="E342" s="55" t="str">
        <f>Podatak_JIB</f>
        <v>4400570050004</v>
      </c>
      <c r="F342" s="55" t="b">
        <f>Konsolidovan_izvjestaj</f>
        <v>1</v>
      </c>
      <c r="G342" s="139">
        <f>Datum_Broj</f>
        <v>45565</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1</v>
      </c>
      <c r="G343" s="139">
        <f t="shared" si="52"/>
        <v>45565</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1</v>
      </c>
      <c r="G344" s="139">
        <f t="shared" si="52"/>
        <v>45565</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1</v>
      </c>
      <c r="G345" s="139">
        <f t="shared" si="52"/>
        <v>45565</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1</v>
      </c>
      <c r="G346" s="139">
        <f t="shared" si="52"/>
        <v>45565</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1</v>
      </c>
      <c r="G347" s="139">
        <f t="shared" si="52"/>
        <v>45565</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1</v>
      </c>
      <c r="G348" s="139">
        <f t="shared" si="52"/>
        <v>45565</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1</v>
      </c>
      <c r="G349" s="139">
        <f t="shared" si="52"/>
        <v>45565</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1</v>
      </c>
      <c r="G350" s="139">
        <f t="shared" si="52"/>
        <v>45565</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1</v>
      </c>
      <c r="G351" s="139">
        <f t="shared" si="52"/>
        <v>45565</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1</v>
      </c>
      <c r="G352" s="139">
        <f t="shared" si="52"/>
        <v>45565</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1</v>
      </c>
      <c r="G353" s="139">
        <f t="shared" si="52"/>
        <v>45565</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1</v>
      </c>
      <c r="G354" s="139">
        <f t="shared" si="52"/>
        <v>45565</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1</v>
      </c>
      <c r="G355" s="139">
        <f t="shared" si="52"/>
        <v>45565</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1</v>
      </c>
      <c r="G356" s="139">
        <f t="shared" si="52"/>
        <v>45565</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1</v>
      </c>
      <c r="G357" s="139">
        <f t="shared" ref="G357:G364" si="61">Datum_Broj</f>
        <v>45565</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1</v>
      </c>
      <c r="G358" s="139">
        <f t="shared" si="61"/>
        <v>45565</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1</v>
      </c>
      <c r="G359" s="139">
        <f t="shared" si="61"/>
        <v>45565</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1</v>
      </c>
      <c r="G360" s="139">
        <f t="shared" si="61"/>
        <v>45565</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1</v>
      </c>
      <c r="G361" s="139">
        <f t="shared" si="61"/>
        <v>45565</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1</v>
      </c>
      <c r="G362" s="139">
        <f t="shared" si="61"/>
        <v>45565</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1</v>
      </c>
      <c r="G363" s="139">
        <f t="shared" si="61"/>
        <v>45565</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1</v>
      </c>
      <c r="G364" s="139">
        <f t="shared" si="61"/>
        <v>45565</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1</v>
      </c>
      <c r="G365" s="223">
        <f t="shared" ref="G365:G408" si="66">Datum_Broj</f>
        <v>45565</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1</v>
      </c>
      <c r="G366" s="223">
        <f t="shared" si="66"/>
        <v>45565</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1</v>
      </c>
      <c r="G367" s="223">
        <f t="shared" si="66"/>
        <v>45565</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1</v>
      </c>
      <c r="G368" s="223">
        <f t="shared" si="66"/>
        <v>45565</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1</v>
      </c>
      <c r="G369" s="223">
        <f t="shared" si="66"/>
        <v>45565</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1</v>
      </c>
      <c r="G370" s="223">
        <f t="shared" si="66"/>
        <v>45565</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1</v>
      </c>
      <c r="G371" s="223">
        <f t="shared" si="66"/>
        <v>45565</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1</v>
      </c>
      <c r="G372" s="223">
        <f t="shared" si="66"/>
        <v>45565</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1</v>
      </c>
      <c r="G373" s="223">
        <f t="shared" si="66"/>
        <v>45565</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1</v>
      </c>
      <c r="G374" s="223">
        <f t="shared" si="66"/>
        <v>45565</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1</v>
      </c>
      <c r="G375" s="223">
        <f t="shared" si="66"/>
        <v>45565</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1</v>
      </c>
      <c r="G376" s="223">
        <f t="shared" si="66"/>
        <v>45565</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1</v>
      </c>
      <c r="G377" s="223">
        <f t="shared" si="66"/>
        <v>45565</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1</v>
      </c>
      <c r="G378" s="223">
        <f t="shared" si="66"/>
        <v>45565</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1</v>
      </c>
      <c r="G379" s="223">
        <f t="shared" si="66"/>
        <v>45565</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1</v>
      </c>
      <c r="G380" s="223">
        <f t="shared" si="66"/>
        <v>45565</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1</v>
      </c>
      <c r="G381" s="223">
        <f t="shared" si="66"/>
        <v>45565</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1</v>
      </c>
      <c r="G382" s="223">
        <f t="shared" si="66"/>
        <v>45565</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1</v>
      </c>
      <c r="G383" s="223">
        <f t="shared" si="66"/>
        <v>45565</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1</v>
      </c>
      <c r="G384" s="223">
        <f t="shared" si="66"/>
        <v>45565</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1</v>
      </c>
      <c r="G385" s="223">
        <f t="shared" si="66"/>
        <v>45565</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1</v>
      </c>
      <c r="G386" s="223">
        <f t="shared" si="66"/>
        <v>45565</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1</v>
      </c>
      <c r="G387" s="223">
        <f t="shared" si="66"/>
        <v>45565</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1</v>
      </c>
      <c r="G388" s="223">
        <f t="shared" si="66"/>
        <v>45565</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1</v>
      </c>
      <c r="G389" s="223">
        <f t="shared" si="66"/>
        <v>45565</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1</v>
      </c>
      <c r="G390" s="223">
        <f t="shared" si="66"/>
        <v>45565</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1</v>
      </c>
      <c r="G391" s="223">
        <f t="shared" si="66"/>
        <v>45565</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1</v>
      </c>
      <c r="G392" s="223">
        <f t="shared" si="66"/>
        <v>45565</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1</v>
      </c>
      <c r="G393" s="223">
        <f t="shared" si="66"/>
        <v>45565</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1</v>
      </c>
      <c r="G394" s="223">
        <f t="shared" si="66"/>
        <v>45565</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1</v>
      </c>
      <c r="G395" s="223">
        <f t="shared" si="66"/>
        <v>45565</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1</v>
      </c>
      <c r="G396" s="223">
        <f t="shared" si="66"/>
        <v>45565</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1</v>
      </c>
      <c r="G397" s="223">
        <f t="shared" si="66"/>
        <v>45565</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1</v>
      </c>
      <c r="G398" s="223">
        <f t="shared" si="66"/>
        <v>45565</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1</v>
      </c>
      <c r="G399" s="223">
        <f t="shared" si="66"/>
        <v>45565</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1</v>
      </c>
      <c r="G400" s="223">
        <f t="shared" si="66"/>
        <v>45565</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1</v>
      </c>
      <c r="G401" s="223">
        <f t="shared" si="66"/>
        <v>45565</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1</v>
      </c>
      <c r="G402" s="223">
        <f t="shared" si="66"/>
        <v>45565</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1</v>
      </c>
      <c r="G403" s="223">
        <f t="shared" si="66"/>
        <v>45565</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1</v>
      </c>
      <c r="G404" s="223">
        <f t="shared" si="66"/>
        <v>45565</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1</v>
      </c>
      <c r="G405" s="223">
        <f t="shared" si="66"/>
        <v>45565</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1</v>
      </c>
      <c r="G406" s="223">
        <f t="shared" si="66"/>
        <v>45565</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1</v>
      </c>
      <c r="G407" s="223">
        <f t="shared" si="66"/>
        <v>45565</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1</v>
      </c>
      <c r="G408" s="223">
        <f t="shared" si="66"/>
        <v>45565</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1</v>
      </c>
      <c r="F2" s="11">
        <f>VLOOKUP( $A2, Aop!$A$2:$P$453, 4, 0)</f>
        <v>0</v>
      </c>
      <c r="G2" s="55">
        <f t="shared" ref="G2:G20" si="3">Godina</f>
        <v>2024</v>
      </c>
      <c r="H2" s="139">
        <f t="shared" ref="H2:H20" si="4">Datum_Broj</f>
        <v>45565</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1</v>
      </c>
      <c r="F3" s="11">
        <f>VLOOKUP( $A3, Aop!$A$2:$P$453, 4, 0)</f>
        <v>901</v>
      </c>
      <c r="G3" s="55">
        <f t="shared" si="3"/>
        <v>2024</v>
      </c>
      <c r="H3" s="139">
        <f t="shared" si="4"/>
        <v>45565</v>
      </c>
      <c r="I3" s="55">
        <v>30</v>
      </c>
      <c r="J3" s="52">
        <f t="shared" ref="J3:S19" ca="1" si="5">IF(VLOOKUP($F3,INDIRECT("Lookup_"&amp;$B3),J$1-1,0)="","",VLOOKUP($F3,INDIRECT("Lookup_"&amp;$B3),J$1-1,0))</f>
        <v>15795899</v>
      </c>
      <c r="K3" s="52">
        <f t="shared" ca="1" si="5"/>
        <v>0</v>
      </c>
      <c r="L3" s="52">
        <f t="shared" ca="1" si="5"/>
        <v>9006387</v>
      </c>
      <c r="M3" s="52">
        <f t="shared" ca="1" si="5"/>
        <v>29859808</v>
      </c>
      <c r="N3" s="52">
        <f t="shared" ca="1" si="5"/>
        <v>0</v>
      </c>
      <c r="O3" s="52">
        <f t="shared" ca="1" si="5"/>
        <v>0</v>
      </c>
      <c r="P3" s="52">
        <f t="shared" ca="1" si="5"/>
        <v>37454440</v>
      </c>
      <c r="Q3" s="52">
        <f t="shared" ca="1" si="5"/>
        <v>92116534</v>
      </c>
      <c r="R3" s="52" t="str">
        <f t="shared" ca="1" si="5"/>
        <v/>
      </c>
      <c r="S3" s="52">
        <f t="shared" ca="1" si="5"/>
        <v>92116534</v>
      </c>
    </row>
    <row r="4" spans="1:19" x14ac:dyDescent="0.2">
      <c r="A4" s="106">
        <v>421</v>
      </c>
      <c r="B4" s="107" t="str">
        <f>VLOOKUP( $A4, Aop!$A$2:$P$453, 2, 0)</f>
        <v>BPK</v>
      </c>
      <c r="C4" s="55" t="str">
        <f t="shared" si="0"/>
        <v>01814788</v>
      </c>
      <c r="D4" s="55" t="str">
        <f t="shared" si="1"/>
        <v>4400570050004</v>
      </c>
      <c r="E4" s="55" t="b">
        <f t="shared" si="2"/>
        <v>1</v>
      </c>
      <c r="F4" s="11">
        <f>VLOOKUP( $A4, Aop!$A$2:$P$453, 4, 0)</f>
        <v>0</v>
      </c>
      <c r="G4" s="55">
        <f t="shared" si="3"/>
        <v>2024</v>
      </c>
      <c r="H4" s="139">
        <f t="shared" si="4"/>
        <v>45565</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1</v>
      </c>
      <c r="F5" s="11">
        <f>VLOOKUP( $A5, Aop!$A$2:$P$453, 4, 0)</f>
        <v>902</v>
      </c>
      <c r="G5" s="55">
        <f t="shared" si="3"/>
        <v>2024</v>
      </c>
      <c r="H5" s="139">
        <f t="shared" si="4"/>
        <v>45565</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1</v>
      </c>
      <c r="F6" s="11">
        <f>VLOOKUP( $A6, Aop!$A$2:$P$453, 4, 0)</f>
        <v>903</v>
      </c>
      <c r="G6" s="55">
        <f t="shared" si="3"/>
        <v>2024</v>
      </c>
      <c r="H6" s="139">
        <f t="shared" si="4"/>
        <v>45565</v>
      </c>
      <c r="I6" s="55">
        <v>30</v>
      </c>
      <c r="J6" s="52" t="str">
        <f t="shared" ca="1" si="5"/>
        <v/>
      </c>
      <c r="K6" s="52" t="str">
        <f t="shared" ca="1" si="5"/>
        <v/>
      </c>
      <c r="L6" s="52">
        <f t="shared" ca="1" si="5"/>
        <v>156447</v>
      </c>
      <c r="M6" s="52" t="str">
        <f t="shared" ca="1" si="5"/>
        <v/>
      </c>
      <c r="N6" s="52" t="str">
        <f t="shared" ca="1" si="5"/>
        <v/>
      </c>
      <c r="O6" s="52" t="str">
        <f t="shared" ca="1" si="5"/>
        <v/>
      </c>
      <c r="P6" s="52">
        <f t="shared" ca="1" si="5"/>
        <v>-156447</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1</v>
      </c>
      <c r="F7" s="11">
        <f>VLOOKUP( $A7, Aop!$A$2:$P$453, 4, 0)</f>
        <v>904</v>
      </c>
      <c r="G7" s="55">
        <f t="shared" si="3"/>
        <v>2024</v>
      </c>
      <c r="H7" s="139">
        <f t="shared" si="4"/>
        <v>45565</v>
      </c>
      <c r="I7" s="55">
        <v>30</v>
      </c>
      <c r="J7" s="52">
        <f t="shared" ca="1" si="5"/>
        <v>15795899</v>
      </c>
      <c r="K7" s="52">
        <f t="shared" ca="1" si="5"/>
        <v>0</v>
      </c>
      <c r="L7" s="52">
        <f t="shared" ca="1" si="5"/>
        <v>9162834</v>
      </c>
      <c r="M7" s="52">
        <f t="shared" ca="1" si="5"/>
        <v>29859808</v>
      </c>
      <c r="N7" s="52">
        <f t="shared" ca="1" si="5"/>
        <v>0</v>
      </c>
      <c r="O7" s="52">
        <f t="shared" ca="1" si="5"/>
        <v>0</v>
      </c>
      <c r="P7" s="52">
        <f t="shared" ca="1" si="5"/>
        <v>37297993</v>
      </c>
      <c r="Q7" s="52">
        <f t="shared" ca="1" si="5"/>
        <v>92116534</v>
      </c>
      <c r="R7" s="52">
        <f t="shared" ca="1" si="5"/>
        <v>0</v>
      </c>
      <c r="S7" s="52">
        <f t="shared" ca="1" si="5"/>
        <v>92116534</v>
      </c>
    </row>
    <row r="8" spans="1:19" x14ac:dyDescent="0.2">
      <c r="A8" s="106">
        <v>425</v>
      </c>
      <c r="B8" s="107" t="str">
        <f>VLOOKUP( $A8, Aop!$A$2:$P$453, 2, 0)</f>
        <v>BPK</v>
      </c>
      <c r="C8" s="55" t="str">
        <f t="shared" si="0"/>
        <v>01814788</v>
      </c>
      <c r="D8" s="55" t="str">
        <f t="shared" si="1"/>
        <v>4400570050004</v>
      </c>
      <c r="E8" s="55" t="b">
        <f t="shared" si="2"/>
        <v>1</v>
      </c>
      <c r="F8" s="11">
        <f>VLOOKUP( $A8, Aop!$A$2:$P$453, 4, 0)</f>
        <v>0</v>
      </c>
      <c r="G8" s="55">
        <f t="shared" si="3"/>
        <v>2024</v>
      </c>
      <c r="H8" s="139">
        <f t="shared" si="4"/>
        <v>45565</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1</v>
      </c>
      <c r="F9" s="11">
        <f>VLOOKUP( $A9, Aop!$A$2:$P$453, 4, 0)</f>
        <v>905</v>
      </c>
      <c r="G9" s="55">
        <f t="shared" si="3"/>
        <v>2024</v>
      </c>
      <c r="H9" s="139">
        <f t="shared" si="4"/>
        <v>45565</v>
      </c>
      <c r="I9" s="55">
        <v>30</v>
      </c>
      <c r="J9" s="52" t="str">
        <f t="shared" ca="1" si="5"/>
        <v/>
      </c>
      <c r="K9" s="52" t="str">
        <f t="shared" ca="1" si="5"/>
        <v/>
      </c>
      <c r="L9" s="52" t="str">
        <f t="shared" ca="1" si="5"/>
        <v/>
      </c>
      <c r="M9" s="52" t="str">
        <f t="shared" ca="1" si="5"/>
        <v/>
      </c>
      <c r="N9" s="52" t="str">
        <f t="shared" ca="1" si="5"/>
        <v/>
      </c>
      <c r="O9" s="52" t="str">
        <f t="shared" ca="1" si="5"/>
        <v/>
      </c>
      <c r="P9" s="52">
        <f t="shared" ca="1" si="5"/>
        <v>3207175</v>
      </c>
      <c r="Q9" s="52">
        <f t="shared" ca="1" si="5"/>
        <v>3207175</v>
      </c>
      <c r="R9" s="52" t="str">
        <f t="shared" ca="1" si="5"/>
        <v/>
      </c>
      <c r="S9" s="52">
        <f t="shared" ca="1" si="5"/>
        <v>3207175</v>
      </c>
    </row>
    <row r="10" spans="1:19" x14ac:dyDescent="0.2">
      <c r="A10" s="106">
        <v>427</v>
      </c>
      <c r="B10" s="107" t="str">
        <f>VLOOKUP( $A10, Aop!$A$2:$P$453, 2, 0)</f>
        <v>BPK</v>
      </c>
      <c r="C10" s="55" t="str">
        <f t="shared" si="0"/>
        <v>01814788</v>
      </c>
      <c r="D10" s="55" t="str">
        <f t="shared" si="1"/>
        <v>4400570050004</v>
      </c>
      <c r="E10" s="55" t="b">
        <f t="shared" si="2"/>
        <v>1</v>
      </c>
      <c r="F10" s="11">
        <f>VLOOKUP( $A10, Aop!$A$2:$P$453, 4, 0)</f>
        <v>906</v>
      </c>
      <c r="G10" s="55">
        <f t="shared" si="3"/>
        <v>2024</v>
      </c>
      <c r="H10" s="139">
        <f t="shared" si="4"/>
        <v>45565</v>
      </c>
      <c r="I10" s="55">
        <v>30</v>
      </c>
      <c r="J10" s="52" t="str">
        <f t="shared" ca="1" si="5"/>
        <v/>
      </c>
      <c r="K10" s="52" t="str">
        <f t="shared" ca="1" si="5"/>
        <v/>
      </c>
      <c r="L10" s="52" t="str">
        <f t="shared" ca="1" si="5"/>
        <v/>
      </c>
      <c r="M10" s="52">
        <f t="shared" ca="1" si="5"/>
        <v>-2320090</v>
      </c>
      <c r="N10" s="52" t="str">
        <f t="shared" ca="1" si="5"/>
        <v/>
      </c>
      <c r="O10" s="52" t="str">
        <f t="shared" ca="1" si="5"/>
        <v/>
      </c>
      <c r="P10" s="52">
        <f t="shared" ca="1" si="5"/>
        <v>2320090</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1</v>
      </c>
      <c r="F11" s="11">
        <f>VLOOKUP( $A11, Aop!$A$2:$P$453, 4, 0)</f>
        <v>907</v>
      </c>
      <c r="G11" s="55">
        <f t="shared" si="3"/>
        <v>2024</v>
      </c>
      <c r="H11" s="139">
        <f t="shared" si="4"/>
        <v>45565</v>
      </c>
      <c r="I11" s="55">
        <v>30</v>
      </c>
      <c r="J11" s="52">
        <f t="shared" ca="1" si="5"/>
        <v>0</v>
      </c>
      <c r="K11" s="52">
        <f t="shared" ca="1" si="5"/>
        <v>0</v>
      </c>
      <c r="L11" s="52">
        <f t="shared" ca="1" si="5"/>
        <v>0</v>
      </c>
      <c r="M11" s="52">
        <f t="shared" ca="1" si="5"/>
        <v>-2320090</v>
      </c>
      <c r="N11" s="52">
        <f t="shared" ca="1" si="5"/>
        <v>0</v>
      </c>
      <c r="O11" s="52">
        <f t="shared" ca="1" si="5"/>
        <v>0</v>
      </c>
      <c r="P11" s="52">
        <f t="shared" ca="1" si="5"/>
        <v>5527265</v>
      </c>
      <c r="Q11" s="52">
        <f t="shared" ca="1" si="5"/>
        <v>3207175</v>
      </c>
      <c r="R11" s="52">
        <f t="shared" ca="1" si="5"/>
        <v>0</v>
      </c>
      <c r="S11" s="52">
        <f t="shared" ca="1" si="5"/>
        <v>3207175</v>
      </c>
    </row>
    <row r="12" spans="1:19" x14ac:dyDescent="0.2">
      <c r="A12" s="106">
        <v>429</v>
      </c>
      <c r="B12" s="107" t="str">
        <f>VLOOKUP( $A12, Aop!$A$2:$P$453, 2, 0)</f>
        <v>BPK</v>
      </c>
      <c r="C12" s="55" t="str">
        <f t="shared" si="0"/>
        <v>01814788</v>
      </c>
      <c r="D12" s="55" t="str">
        <f t="shared" si="1"/>
        <v>4400570050004</v>
      </c>
      <c r="E12" s="55" t="b">
        <f t="shared" si="2"/>
        <v>1</v>
      </c>
      <c r="F12" s="11">
        <f>VLOOKUP( $A12, Aop!$A$2:$P$453, 4, 0)</f>
        <v>0</v>
      </c>
      <c r="G12" s="55">
        <f t="shared" si="3"/>
        <v>2024</v>
      </c>
      <c r="H12" s="139">
        <f t="shared" si="4"/>
        <v>45565</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1</v>
      </c>
      <c r="F13" s="11">
        <f>VLOOKUP( $A13, Aop!$A$2:$P$453, 4, 0)</f>
        <v>908</v>
      </c>
      <c r="G13" s="55">
        <f t="shared" si="3"/>
        <v>2024</v>
      </c>
      <c r="H13" s="139">
        <f t="shared" si="4"/>
        <v>45565</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1</v>
      </c>
      <c r="F14" s="11">
        <f>VLOOKUP( $A14, Aop!$A$2:$P$453, 4, 0)</f>
        <v>909</v>
      </c>
      <c r="G14" s="55">
        <f t="shared" si="3"/>
        <v>2024</v>
      </c>
      <c r="H14" s="139">
        <f t="shared" si="4"/>
        <v>45565</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1</v>
      </c>
      <c r="F15" s="11">
        <f>VLOOKUP( $A15, Aop!$A$2:$P$453, 4, 0)</f>
        <v>910</v>
      </c>
      <c r="G15" s="55">
        <f t="shared" si="3"/>
        <v>2024</v>
      </c>
      <c r="H15" s="139">
        <f t="shared" si="4"/>
        <v>45565</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1</v>
      </c>
      <c r="F16" s="11">
        <f>VLOOKUP( $A16, Aop!$A$2:$P$453, 4, 0)</f>
        <v>911</v>
      </c>
      <c r="G16" s="55">
        <f t="shared" si="3"/>
        <v>2024</v>
      </c>
      <c r="H16" s="139">
        <f t="shared" si="4"/>
        <v>45565</v>
      </c>
      <c r="I16" s="55">
        <v>30</v>
      </c>
      <c r="J16" s="52" t="str">
        <f t="shared" ca="1" si="5"/>
        <v/>
      </c>
      <c r="K16" s="52" t="str">
        <f t="shared" ca="1" si="5"/>
        <v/>
      </c>
      <c r="L16" s="52">
        <f t="shared" ca="1" si="5"/>
        <v>345572</v>
      </c>
      <c r="M16" s="52" t="str">
        <f t="shared" ca="1" si="5"/>
        <v/>
      </c>
      <c r="N16" s="52" t="str">
        <f t="shared" ca="1" si="5"/>
        <v/>
      </c>
      <c r="O16" s="52" t="str">
        <f t="shared" ca="1" si="5"/>
        <v/>
      </c>
      <c r="P16" s="52">
        <f t="shared" ca="1" si="5"/>
        <v>-422154</v>
      </c>
      <c r="Q16" s="52">
        <f t="shared" ca="1" si="5"/>
        <v>-76582</v>
      </c>
      <c r="R16" s="52" t="str">
        <f t="shared" ca="1" si="5"/>
        <v/>
      </c>
      <c r="S16" s="52">
        <f t="shared" ca="1" si="5"/>
        <v>-76582</v>
      </c>
    </row>
    <row r="17" spans="1:19" x14ac:dyDescent="0.2">
      <c r="A17" s="106">
        <v>434</v>
      </c>
      <c r="B17" s="107" t="str">
        <f>VLOOKUP( $A17, Aop!$A$2:$P$453, 2, 0)</f>
        <v>BPK</v>
      </c>
      <c r="C17" s="55" t="str">
        <f t="shared" si="0"/>
        <v>01814788</v>
      </c>
      <c r="D17" s="55" t="str">
        <f t="shared" si="1"/>
        <v>4400570050004</v>
      </c>
      <c r="E17" s="55" t="b">
        <f t="shared" si="2"/>
        <v>1</v>
      </c>
      <c r="F17" s="11">
        <f>VLOOKUP( $A17, Aop!$A$2:$P$453, 4, 0)</f>
        <v>912</v>
      </c>
      <c r="G17" s="55">
        <f t="shared" si="3"/>
        <v>2024</v>
      </c>
      <c r="H17" s="139">
        <f t="shared" si="4"/>
        <v>45565</v>
      </c>
      <c r="I17" s="55">
        <v>30</v>
      </c>
      <c r="J17" s="52" t="str">
        <f t="shared" ca="1" si="5"/>
        <v/>
      </c>
      <c r="K17" s="52" t="str">
        <f t="shared" ca="1" si="5"/>
        <v/>
      </c>
      <c r="L17" s="52">
        <f t="shared" ca="1" si="5"/>
        <v>3949229</v>
      </c>
      <c r="M17" s="52">
        <f t="shared" ca="1" si="5"/>
        <v>-12629</v>
      </c>
      <c r="N17" s="52" t="str">
        <f t="shared" ca="1" si="5"/>
        <v/>
      </c>
      <c r="O17" s="52" t="str">
        <f t="shared" ca="1" si="5"/>
        <v/>
      </c>
      <c r="P17" s="52">
        <f t="shared" ca="1" si="5"/>
        <v>101139</v>
      </c>
      <c r="Q17" s="52">
        <f t="shared" ca="1" si="5"/>
        <v>4037739</v>
      </c>
      <c r="R17" s="52" t="str">
        <f t="shared" ca="1" si="5"/>
        <v/>
      </c>
      <c r="S17" s="52">
        <f t="shared" ca="1" si="5"/>
        <v>4037739</v>
      </c>
    </row>
    <row r="18" spans="1:19" x14ac:dyDescent="0.2">
      <c r="A18" s="106">
        <v>435</v>
      </c>
      <c r="B18" s="107" t="str">
        <f>VLOOKUP( $A18, Aop!$A$2:$P$453, 2, 0)</f>
        <v>BPK</v>
      </c>
      <c r="C18" s="55" t="str">
        <f t="shared" si="0"/>
        <v>01814788</v>
      </c>
      <c r="D18" s="55" t="str">
        <f t="shared" si="1"/>
        <v>4400570050004</v>
      </c>
      <c r="E18" s="55" t="b">
        <f t="shared" si="2"/>
        <v>1</v>
      </c>
      <c r="F18" s="11">
        <f>VLOOKUP( $A18, Aop!$A$2:$P$453, 4, 0)</f>
        <v>0</v>
      </c>
      <c r="G18" s="55">
        <f t="shared" si="3"/>
        <v>2024</v>
      </c>
      <c r="H18" s="139">
        <f t="shared" si="4"/>
        <v>45565</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1</v>
      </c>
      <c r="F19" s="11">
        <f>VLOOKUP( $A19, Aop!$A$2:$P$453, 4, 0)</f>
        <v>913</v>
      </c>
      <c r="G19" s="55">
        <f t="shared" si="3"/>
        <v>2024</v>
      </c>
      <c r="H19" s="139">
        <f t="shared" si="4"/>
        <v>45565</v>
      </c>
      <c r="I19" s="55">
        <v>30</v>
      </c>
      <c r="J19" s="52">
        <f t="shared" ca="1" si="5"/>
        <v>15795899</v>
      </c>
      <c r="K19" s="52">
        <f t="shared" ca="1" si="5"/>
        <v>0</v>
      </c>
      <c r="L19" s="52">
        <f t="shared" ca="1" si="5"/>
        <v>13457635</v>
      </c>
      <c r="M19" s="52">
        <f t="shared" ca="1" si="5"/>
        <v>27527089</v>
      </c>
      <c r="N19" s="52">
        <f t="shared" ca="1" si="5"/>
        <v>0</v>
      </c>
      <c r="O19" s="52">
        <f t="shared" ca="1" si="5"/>
        <v>0</v>
      </c>
      <c r="P19" s="52">
        <f t="shared" ca="1" si="5"/>
        <v>42504243</v>
      </c>
      <c r="Q19" s="52">
        <f t="shared" ca="1" si="5"/>
        <v>99284866</v>
      </c>
      <c r="R19" s="52">
        <f t="shared" ca="1" si="5"/>
        <v>0</v>
      </c>
      <c r="S19" s="52">
        <f t="shared" ca="1" si="5"/>
        <v>99284866</v>
      </c>
    </row>
    <row r="20" spans="1:19" x14ac:dyDescent="0.2">
      <c r="A20" s="106">
        <v>437</v>
      </c>
      <c r="B20" s="112" t="str">
        <f>VLOOKUP( $A20, Aop!$A$2:$P$453, 2, 0)</f>
        <v>BPK</v>
      </c>
      <c r="C20" s="55" t="str">
        <f t="shared" si="0"/>
        <v>01814788</v>
      </c>
      <c r="D20" s="55" t="str">
        <f t="shared" si="1"/>
        <v>4400570050004</v>
      </c>
      <c r="E20" s="55" t="b">
        <f t="shared" si="2"/>
        <v>1</v>
      </c>
      <c r="F20" s="11">
        <f>VLOOKUP( $A20, Aop!$A$2:$P$453, 4, 0)</f>
        <v>0</v>
      </c>
      <c r="G20" s="55">
        <f t="shared" si="3"/>
        <v>2024</v>
      </c>
      <c r="H20" s="139">
        <f t="shared" si="4"/>
        <v>45565</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4" t="str">
        <f>VLOOKUP( $A21, Aop!$A$2:$P$453, 2, 0)</f>
        <v>BPK</v>
      </c>
      <c r="C21" s="52" t="str">
        <f t="shared" ref="C21:C35" si="6">Podatak_MB</f>
        <v>01814788</v>
      </c>
      <c r="D21" s="52" t="str">
        <f t="shared" ref="D21:D35" si="7">Podatak_JIB</f>
        <v>4400570050004</v>
      </c>
      <c r="E21" s="52" t="b">
        <f t="shared" ref="E21:E35" si="8">Konsolidovan_izvjestaj</f>
        <v>1</v>
      </c>
      <c r="F21" s="11">
        <f>VLOOKUP( $A21, Aop!$A$2:$P$453, 4, 0)</f>
        <v>914</v>
      </c>
      <c r="G21" s="52">
        <f t="shared" ref="G21:G35" si="9">Godina</f>
        <v>2024</v>
      </c>
      <c r="H21" s="223">
        <f t="shared" ref="H21:H35" si="10">Datum_Broj</f>
        <v>45565</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4" t="str">
        <f>VLOOKUP( $A22, Aop!$A$2:$P$453, 2, 0)</f>
        <v>BPK</v>
      </c>
      <c r="C22" s="52" t="str">
        <f t="shared" si="6"/>
        <v>01814788</v>
      </c>
      <c r="D22" s="52" t="str">
        <f t="shared" si="7"/>
        <v>4400570050004</v>
      </c>
      <c r="E22" s="52" t="b">
        <f t="shared" si="8"/>
        <v>1</v>
      </c>
      <c r="F22" s="11">
        <f>VLOOKUP( $A22, Aop!$A$2:$P$453, 4, 0)</f>
        <v>915</v>
      </c>
      <c r="G22" s="52">
        <f t="shared" si="9"/>
        <v>2024</v>
      </c>
      <c r="H22" s="223">
        <f t="shared" si="10"/>
        <v>45565</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4" t="str">
        <f>VLOOKUP( $A23, Aop!$A$2:$P$453, 2, 0)</f>
        <v>BPK</v>
      </c>
      <c r="C23" s="52" t="str">
        <f t="shared" si="6"/>
        <v>01814788</v>
      </c>
      <c r="D23" s="52" t="str">
        <f t="shared" si="7"/>
        <v>4400570050004</v>
      </c>
      <c r="E23" s="52" t="b">
        <f t="shared" si="8"/>
        <v>1</v>
      </c>
      <c r="F23" s="11">
        <f>VLOOKUP( $A23, Aop!$A$2:$P$453, 4, 0)</f>
        <v>916</v>
      </c>
      <c r="G23" s="52">
        <f t="shared" si="9"/>
        <v>2024</v>
      </c>
      <c r="H23" s="223">
        <f t="shared" si="10"/>
        <v>45565</v>
      </c>
      <c r="I23" s="55">
        <v>30</v>
      </c>
      <c r="J23" s="52">
        <f t="shared" ca="1" si="11"/>
        <v>15795899</v>
      </c>
      <c r="K23" s="52">
        <f t="shared" ca="1" si="11"/>
        <v>0</v>
      </c>
      <c r="L23" s="52">
        <f t="shared" ca="1" si="11"/>
        <v>13457635</v>
      </c>
      <c r="M23" s="52">
        <f t="shared" ca="1" si="11"/>
        <v>27527089</v>
      </c>
      <c r="N23" s="52">
        <f t="shared" ca="1" si="11"/>
        <v>0</v>
      </c>
      <c r="O23" s="52">
        <f t="shared" ca="1" si="11"/>
        <v>0</v>
      </c>
      <c r="P23" s="52">
        <f t="shared" ca="1" si="11"/>
        <v>42504243</v>
      </c>
      <c r="Q23" s="52">
        <f t="shared" ca="1" si="11"/>
        <v>99284866</v>
      </c>
      <c r="R23" s="52">
        <f t="shared" ca="1" si="11"/>
        <v>0</v>
      </c>
      <c r="S23" s="52">
        <f t="shared" ca="1" si="11"/>
        <v>99284866</v>
      </c>
    </row>
    <row r="24" spans="1:19" x14ac:dyDescent="0.2">
      <c r="A24" s="106">
        <v>441</v>
      </c>
      <c r="B24" s="224" t="str">
        <f>VLOOKUP( $A24, Aop!$A$2:$P$453, 2, 0)</f>
        <v>BPK</v>
      </c>
      <c r="C24" s="52" t="str">
        <f t="shared" si="6"/>
        <v>01814788</v>
      </c>
      <c r="D24" s="52" t="str">
        <f t="shared" si="7"/>
        <v>4400570050004</v>
      </c>
      <c r="E24" s="52" t="b">
        <f t="shared" si="8"/>
        <v>1</v>
      </c>
      <c r="F24" s="11">
        <f>VLOOKUP( $A24, Aop!$A$2:$P$453, 4, 0)</f>
        <v>0</v>
      </c>
      <c r="G24" s="52">
        <f t="shared" si="9"/>
        <v>2024</v>
      </c>
      <c r="H24" s="223">
        <f t="shared" si="10"/>
        <v>45565</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4" t="str">
        <f>VLOOKUP( $A25, Aop!$A$2:$P$453, 2, 0)</f>
        <v>BPK</v>
      </c>
      <c r="C25" s="52" t="str">
        <f t="shared" ref="C25:C34" si="12">Podatak_MB</f>
        <v>01814788</v>
      </c>
      <c r="D25" s="52" t="str">
        <f t="shared" ref="D25:D34" si="13">Podatak_JIB</f>
        <v>4400570050004</v>
      </c>
      <c r="E25" s="52" t="b">
        <f t="shared" ref="E25:E34" si="14">Konsolidovan_izvjestaj</f>
        <v>1</v>
      </c>
      <c r="F25" s="11">
        <f>VLOOKUP( $A25, Aop!$A$2:$P$453, 4, 0)</f>
        <v>917</v>
      </c>
      <c r="G25" s="52">
        <f t="shared" ref="G25:G34" si="15">Godina</f>
        <v>2024</v>
      </c>
      <c r="H25" s="223">
        <f t="shared" ref="H25:H34" si="16">Datum_Broj</f>
        <v>45565</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4" t="str">
        <f>VLOOKUP( $A26, Aop!$A$2:$P$453, 2, 0)</f>
        <v>BPK</v>
      </c>
      <c r="C26" s="52" t="str">
        <f t="shared" si="12"/>
        <v>01814788</v>
      </c>
      <c r="D26" s="52" t="str">
        <f t="shared" si="13"/>
        <v>4400570050004</v>
      </c>
      <c r="E26" s="52" t="b">
        <f t="shared" si="14"/>
        <v>1</v>
      </c>
      <c r="F26" s="11">
        <f>VLOOKUP( $A26, Aop!$A$2:$P$453, 4, 0)</f>
        <v>918</v>
      </c>
      <c r="G26" s="52">
        <f t="shared" si="15"/>
        <v>2024</v>
      </c>
      <c r="H26" s="223">
        <f t="shared" si="16"/>
        <v>45565</v>
      </c>
      <c r="I26" s="55">
        <v>30</v>
      </c>
      <c r="J26" s="52" t="str">
        <f t="shared" ca="1" si="17"/>
        <v/>
      </c>
      <c r="K26" s="52"/>
      <c r="L26" s="52"/>
      <c r="M26" s="52"/>
      <c r="N26" s="52"/>
      <c r="O26" s="52"/>
      <c r="P26" s="52"/>
      <c r="Q26" s="52"/>
      <c r="R26" s="52"/>
      <c r="S26" s="52"/>
    </row>
    <row r="27" spans="1:19" x14ac:dyDescent="0.2">
      <c r="A27" s="106">
        <v>444</v>
      </c>
      <c r="B27" s="224" t="str">
        <f>VLOOKUP( $A27, Aop!$A$2:$P$453, 2, 0)</f>
        <v>BPK</v>
      </c>
      <c r="C27" s="52" t="str">
        <f t="shared" si="12"/>
        <v>01814788</v>
      </c>
      <c r="D27" s="52" t="str">
        <f t="shared" si="13"/>
        <v>4400570050004</v>
      </c>
      <c r="E27" s="52" t="b">
        <f t="shared" si="14"/>
        <v>1</v>
      </c>
      <c r="F27" s="11">
        <f>VLOOKUP( $A27, Aop!$A$2:$P$453, 4, 0)</f>
        <v>919</v>
      </c>
      <c r="G27" s="52">
        <f t="shared" si="15"/>
        <v>2024</v>
      </c>
      <c r="H27" s="223">
        <f t="shared" si="16"/>
        <v>45565</v>
      </c>
      <c r="I27" s="55">
        <v>30</v>
      </c>
      <c r="J27" s="52">
        <f t="shared" ca="1" si="17"/>
        <v>0</v>
      </c>
      <c r="K27" s="52"/>
      <c r="L27" s="52"/>
      <c r="M27" s="52"/>
      <c r="N27" s="52"/>
      <c r="O27" s="52"/>
      <c r="P27" s="52"/>
      <c r="Q27" s="52"/>
      <c r="R27" s="52"/>
      <c r="S27" s="52"/>
    </row>
    <row r="28" spans="1:19" x14ac:dyDescent="0.2">
      <c r="A28" s="106">
        <v>445</v>
      </c>
      <c r="B28" s="224" t="str">
        <f>VLOOKUP( $A28, Aop!$A$2:$P$453, 2, 0)</f>
        <v>BPK</v>
      </c>
      <c r="C28" s="52" t="str">
        <f t="shared" si="12"/>
        <v>01814788</v>
      </c>
      <c r="D28" s="52" t="str">
        <f t="shared" si="13"/>
        <v>4400570050004</v>
      </c>
      <c r="E28" s="52" t="b">
        <f t="shared" si="14"/>
        <v>1</v>
      </c>
      <c r="F28" s="11">
        <f>VLOOKUP( $A28, Aop!$A$2:$P$453, 4, 0)</f>
        <v>0</v>
      </c>
      <c r="G28" s="52">
        <f t="shared" si="15"/>
        <v>2024</v>
      </c>
      <c r="H28" s="223">
        <f t="shared" si="16"/>
        <v>45565</v>
      </c>
      <c r="I28" s="55">
        <v>30</v>
      </c>
      <c r="J28" s="52" t="str">
        <f t="shared" ca="1" si="17"/>
        <v/>
      </c>
      <c r="K28" s="52"/>
      <c r="L28" s="52"/>
      <c r="M28" s="52"/>
      <c r="N28" s="52"/>
      <c r="O28" s="52"/>
      <c r="P28" s="52"/>
      <c r="Q28" s="52"/>
      <c r="R28" s="52"/>
      <c r="S28" s="52"/>
    </row>
    <row r="29" spans="1:19" x14ac:dyDescent="0.2">
      <c r="A29" s="106">
        <v>446</v>
      </c>
      <c r="B29" s="224" t="str">
        <f>VLOOKUP( $A29, Aop!$A$2:$P$453, 2, 0)</f>
        <v>BPK</v>
      </c>
      <c r="C29" s="52" t="str">
        <f t="shared" si="12"/>
        <v>01814788</v>
      </c>
      <c r="D29" s="52" t="str">
        <f t="shared" si="13"/>
        <v>4400570050004</v>
      </c>
      <c r="E29" s="52" t="b">
        <f t="shared" si="14"/>
        <v>1</v>
      </c>
      <c r="F29" s="11">
        <f>VLOOKUP( $A29, Aop!$A$2:$P$453, 4, 0)</f>
        <v>920</v>
      </c>
      <c r="G29" s="52">
        <f t="shared" si="15"/>
        <v>2024</v>
      </c>
      <c r="H29" s="223">
        <f t="shared" si="16"/>
        <v>45565</v>
      </c>
      <c r="I29" s="55">
        <v>30</v>
      </c>
      <c r="J29" s="52" t="str">
        <f t="shared" ca="1" si="17"/>
        <v/>
      </c>
      <c r="K29" s="52"/>
      <c r="L29" s="52"/>
      <c r="M29" s="52"/>
      <c r="N29" s="52"/>
      <c r="O29" s="52"/>
      <c r="P29" s="52"/>
      <c r="Q29" s="52"/>
      <c r="R29" s="52"/>
      <c r="S29" s="52"/>
    </row>
    <row r="30" spans="1:19" x14ac:dyDescent="0.2">
      <c r="A30" s="106">
        <v>447</v>
      </c>
      <c r="B30" s="224" t="str">
        <f>VLOOKUP( $A30, Aop!$A$2:$P$453, 2, 0)</f>
        <v>BPK</v>
      </c>
      <c r="C30" s="52" t="str">
        <f t="shared" si="12"/>
        <v>01814788</v>
      </c>
      <c r="D30" s="52" t="str">
        <f t="shared" si="13"/>
        <v>4400570050004</v>
      </c>
      <c r="E30" s="52" t="b">
        <f t="shared" si="14"/>
        <v>1</v>
      </c>
      <c r="F30" s="11">
        <f>VLOOKUP( $A30, Aop!$A$2:$P$453, 4, 0)</f>
        <v>921</v>
      </c>
      <c r="G30" s="52">
        <f t="shared" si="15"/>
        <v>2024</v>
      </c>
      <c r="H30" s="223">
        <f t="shared" si="16"/>
        <v>45565</v>
      </c>
      <c r="I30" s="55">
        <v>30</v>
      </c>
      <c r="J30" s="52" t="str">
        <f t="shared" ca="1" si="17"/>
        <v/>
      </c>
      <c r="K30" s="52"/>
      <c r="L30" s="52"/>
      <c r="M30" s="52"/>
      <c r="N30" s="52"/>
      <c r="O30" s="52"/>
      <c r="P30" s="52"/>
      <c r="Q30" s="52"/>
      <c r="R30" s="52"/>
      <c r="S30" s="52"/>
    </row>
    <row r="31" spans="1:19" x14ac:dyDescent="0.2">
      <c r="A31" s="106">
        <v>448</v>
      </c>
      <c r="B31" s="224" t="str">
        <f>VLOOKUP( $A31, Aop!$A$2:$P$453, 2, 0)</f>
        <v>BPK</v>
      </c>
      <c r="C31" s="52" t="str">
        <f t="shared" si="12"/>
        <v>01814788</v>
      </c>
      <c r="D31" s="52" t="str">
        <f t="shared" si="13"/>
        <v>4400570050004</v>
      </c>
      <c r="E31" s="52" t="b">
        <f t="shared" si="14"/>
        <v>1</v>
      </c>
      <c r="F31" s="11">
        <f>VLOOKUP( $A31, Aop!$A$2:$P$453, 4, 0)</f>
        <v>922</v>
      </c>
      <c r="G31" s="52">
        <f t="shared" si="15"/>
        <v>2024</v>
      </c>
      <c r="H31" s="223">
        <f t="shared" si="16"/>
        <v>45565</v>
      </c>
      <c r="I31" s="55">
        <v>30</v>
      </c>
      <c r="J31" s="52" t="str">
        <f t="shared" ca="1" si="17"/>
        <v/>
      </c>
      <c r="K31" s="52"/>
      <c r="L31" s="52"/>
      <c r="M31" s="52"/>
      <c r="N31" s="52"/>
      <c r="O31" s="52"/>
      <c r="P31" s="52"/>
      <c r="Q31" s="52"/>
      <c r="R31" s="52"/>
      <c r="S31" s="52"/>
    </row>
    <row r="32" spans="1:19" x14ac:dyDescent="0.2">
      <c r="A32" s="106">
        <v>449</v>
      </c>
      <c r="B32" s="224" t="str">
        <f>VLOOKUP( $A32, Aop!$A$2:$P$453, 2, 0)</f>
        <v>BPK</v>
      </c>
      <c r="C32" s="52" t="str">
        <f t="shared" si="12"/>
        <v>01814788</v>
      </c>
      <c r="D32" s="52" t="str">
        <f t="shared" si="13"/>
        <v>4400570050004</v>
      </c>
      <c r="E32" s="52" t="b">
        <f t="shared" si="14"/>
        <v>1</v>
      </c>
      <c r="F32" s="11">
        <f>VLOOKUP( $A32, Aop!$A$2:$P$453, 4, 0)</f>
        <v>923</v>
      </c>
      <c r="G32" s="52">
        <f t="shared" si="15"/>
        <v>2024</v>
      </c>
      <c r="H32" s="223">
        <f t="shared" si="16"/>
        <v>45565</v>
      </c>
      <c r="I32" s="55">
        <v>30</v>
      </c>
      <c r="J32" s="52" t="str">
        <f t="shared" ca="1" si="17"/>
        <v/>
      </c>
      <c r="K32" s="52"/>
      <c r="L32" s="52"/>
      <c r="M32" s="52"/>
      <c r="N32" s="52"/>
      <c r="O32" s="52"/>
      <c r="P32" s="52"/>
      <c r="Q32" s="52"/>
      <c r="R32" s="52"/>
      <c r="S32" s="52"/>
    </row>
    <row r="33" spans="1:19" x14ac:dyDescent="0.2">
      <c r="A33" s="106">
        <v>450</v>
      </c>
      <c r="B33" s="224" t="str">
        <f>VLOOKUP( $A33, Aop!$A$2:$P$453, 2, 0)</f>
        <v>BPK</v>
      </c>
      <c r="C33" s="52" t="str">
        <f t="shared" si="12"/>
        <v>01814788</v>
      </c>
      <c r="D33" s="52" t="str">
        <f t="shared" si="13"/>
        <v>4400570050004</v>
      </c>
      <c r="E33" s="52" t="b">
        <f t="shared" si="14"/>
        <v>1</v>
      </c>
      <c r="F33" s="11">
        <f>VLOOKUP( $A33, Aop!$A$2:$P$453, 4, 0)</f>
        <v>924</v>
      </c>
      <c r="G33" s="52">
        <f t="shared" si="15"/>
        <v>2024</v>
      </c>
      <c r="H33" s="223">
        <f t="shared" si="16"/>
        <v>45565</v>
      </c>
      <c r="I33" s="55">
        <v>30</v>
      </c>
      <c r="J33" s="52" t="str">
        <f t="shared" ca="1" si="17"/>
        <v/>
      </c>
      <c r="K33" s="52"/>
      <c r="L33" s="52"/>
      <c r="M33" s="52"/>
      <c r="N33" s="52"/>
      <c r="O33" s="52"/>
      <c r="P33" s="52"/>
      <c r="Q33" s="52"/>
      <c r="R33" s="52"/>
      <c r="S33" s="52"/>
    </row>
    <row r="34" spans="1:19" x14ac:dyDescent="0.2">
      <c r="A34" s="106">
        <v>451</v>
      </c>
      <c r="B34" s="224" t="str">
        <f>VLOOKUP( $A34, Aop!$A$2:$P$453, 2, 0)</f>
        <v>BPK</v>
      </c>
      <c r="C34" s="52" t="str">
        <f t="shared" si="12"/>
        <v>01814788</v>
      </c>
      <c r="D34" s="52" t="str">
        <f t="shared" si="13"/>
        <v>4400570050004</v>
      </c>
      <c r="E34" s="52" t="b">
        <f t="shared" si="14"/>
        <v>1</v>
      </c>
      <c r="F34" s="11">
        <f>VLOOKUP( $A34, Aop!$A$2:$P$453, 4, 0)</f>
        <v>0</v>
      </c>
      <c r="G34" s="52">
        <f t="shared" si="15"/>
        <v>2024</v>
      </c>
      <c r="H34" s="223">
        <f t="shared" si="16"/>
        <v>45565</v>
      </c>
      <c r="I34" s="55">
        <v>30</v>
      </c>
      <c r="J34" s="52" t="str">
        <f t="shared" ca="1" si="17"/>
        <v/>
      </c>
      <c r="K34" s="52"/>
      <c r="L34" s="52"/>
      <c r="M34" s="52"/>
      <c r="N34" s="52"/>
      <c r="O34" s="52"/>
      <c r="P34" s="52"/>
      <c r="Q34" s="52"/>
      <c r="R34" s="52"/>
      <c r="S34" s="52"/>
    </row>
    <row r="35" spans="1:19" x14ac:dyDescent="0.2">
      <c r="A35" s="106">
        <v>452</v>
      </c>
      <c r="B35" s="224" t="str">
        <f>VLOOKUP( $A35, Aop!$A$2:$P$453, 2, 0)</f>
        <v>BPK</v>
      </c>
      <c r="C35" s="52" t="str">
        <f t="shared" si="6"/>
        <v>01814788</v>
      </c>
      <c r="D35" s="52" t="str">
        <f t="shared" si="7"/>
        <v>4400570050004</v>
      </c>
      <c r="E35" s="52" t="b">
        <f t="shared" si="8"/>
        <v>1</v>
      </c>
      <c r="F35" s="11">
        <f>VLOOKUP( $A35, Aop!$A$2:$P$453, 4, 0)</f>
        <v>925</v>
      </c>
      <c r="G35" s="52">
        <f t="shared" si="9"/>
        <v>2024</v>
      </c>
      <c r="H35" s="223">
        <f t="shared" si="10"/>
        <v>45565</v>
      </c>
      <c r="I35" s="55">
        <v>30</v>
      </c>
      <c r="J35" s="52">
        <f t="shared" ref="J35:S35" ca="1" si="18">IF(VLOOKUP($F35,INDIRECT("Lookup_"&amp;$B35),J$1-1,0)="","",VLOOKUP($F35,INDIRECT("Lookup_"&amp;$B35),J$1-1,0))</f>
        <v>15795899</v>
      </c>
      <c r="K35" s="52">
        <f t="shared" ca="1" si="18"/>
        <v>0</v>
      </c>
      <c r="L35" s="52">
        <f t="shared" ca="1" si="18"/>
        <v>14929655</v>
      </c>
      <c r="M35" s="52">
        <f t="shared" ca="1" si="18"/>
        <v>27527089</v>
      </c>
      <c r="N35" s="52">
        <f t="shared" ca="1" si="18"/>
        <v>0</v>
      </c>
      <c r="O35" s="52">
        <f t="shared" ca="1" si="18"/>
        <v>0</v>
      </c>
      <c r="P35" s="52">
        <f t="shared" ca="1" si="18"/>
        <v>42656018</v>
      </c>
      <c r="Q35" s="52">
        <f t="shared" ca="1" si="18"/>
        <v>100908661</v>
      </c>
      <c r="R35" s="52">
        <f t="shared" ca="1" si="18"/>
        <v>0</v>
      </c>
      <c r="S35" s="52">
        <f t="shared" ca="1" si="18"/>
        <v>100908661</v>
      </c>
    </row>
  </sheetData>
  <sheetProtection sheet="1" objects="1" scenarios="1"/>
  <phoneticPr fontId="26"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0" t="s">
        <v>2877</v>
      </c>
    </row>
    <row r="2" spans="2:23" x14ac:dyDescent="0.2">
      <c r="B2" s="84">
        <f>VLOOKUP( T_ApifImport[[#This Row],[Bilans]], T_Bilansi[], 4, 0)</f>
        <v>25</v>
      </c>
      <c r="C2" s="228">
        <f>VLOOKUP( T_ApifImport[[#This Row],[ld]], T_Aop[], 4, 0)</f>
        <v>1</v>
      </c>
      <c r="D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348926572</v>
      </c>
      <c r="F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201928999</v>
      </c>
      <c r="G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146997573</v>
      </c>
      <c r="H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146936866</v>
      </c>
      <c r="I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29" t="s">
        <v>771</v>
      </c>
      <c r="Q2" s="8" t="s">
        <v>778</v>
      </c>
    </row>
    <row r="3" spans="2:23" x14ac:dyDescent="0.2">
      <c r="B3" s="84">
        <f>VLOOKUP( T_ApifImport[[#This Row],[Bilans]], T_Bilansi[], 4, 0)</f>
        <v>25</v>
      </c>
      <c r="C3" s="228">
        <f>VLOOKUP( T_ApifImport[[#This Row],[ld]], T_Aop[], 4, 0)</f>
        <v>2</v>
      </c>
      <c r="D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7725272</v>
      </c>
      <c r="F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1499606</v>
      </c>
      <c r="G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6225666</v>
      </c>
      <c r="H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6162177</v>
      </c>
      <c r="I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29" t="s">
        <v>771</v>
      </c>
    </row>
    <row r="4" spans="2:23" x14ac:dyDescent="0.2">
      <c r="B4" s="84">
        <f>VLOOKUP( T_ApifImport[[#This Row],[Bilans]], T_Bilansi[], 4, 0)</f>
        <v>25</v>
      </c>
      <c r="C4" s="228">
        <f>VLOOKUP( T_ApifImport[[#This Row],[ld]], T_Aop[], 4, 0)</f>
        <v>3</v>
      </c>
      <c r="D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F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23910</v>
      </c>
      <c r="G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18889</v>
      </c>
      <c r="H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I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29" t="s">
        <v>771</v>
      </c>
    </row>
    <row r="5" spans="2:23" x14ac:dyDescent="0.2">
      <c r="B5" s="84">
        <f>VLOOKUP( T_ApifImport[[#This Row],[Bilans]], T_Bilansi[], 4, 0)</f>
        <v>25</v>
      </c>
      <c r="C5" s="228">
        <f>VLOOKUP( T_ApifImport[[#This Row],[ld]], T_Aop[], 4, 0)</f>
        <v>4</v>
      </c>
      <c r="D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7682473</v>
      </c>
      <c r="F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1475696</v>
      </c>
      <c r="G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6206777</v>
      </c>
      <c r="H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6142218</v>
      </c>
      <c r="I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29" t="s">
        <v>771</v>
      </c>
    </row>
    <row r="6" spans="2:23" x14ac:dyDescent="0.2">
      <c r="B6" s="84">
        <f>VLOOKUP( T_ApifImport[[#This Row],[Bilans]], T_Bilansi[], 4, 0)</f>
        <v>25</v>
      </c>
      <c r="C6" s="228">
        <f>VLOOKUP( T_ApifImport[[#This Row],[ld]], T_Aop[], 4, 0)</f>
        <v>5</v>
      </c>
      <c r="D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29" t="s">
        <v>771</v>
      </c>
    </row>
    <row r="7" spans="2:23" x14ac:dyDescent="0.2">
      <c r="B7" s="84">
        <f>VLOOKUP( T_ApifImport[[#This Row],[Bilans]], T_Bilansi[], 4, 0)</f>
        <v>25</v>
      </c>
      <c r="C7" s="228">
        <f>VLOOKUP( T_ApifImport[[#This Row],[ld]], T_Aop[], 4, 0)</f>
        <v>6</v>
      </c>
      <c r="D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29" t="s">
        <v>771</v>
      </c>
    </row>
    <row r="8" spans="2:23" x14ac:dyDescent="0.2">
      <c r="B8" s="84">
        <f>VLOOKUP( T_ApifImport[[#This Row],[Bilans]], T_Bilansi[], 4, 0)</f>
        <v>25</v>
      </c>
      <c r="C8" s="228">
        <f>VLOOKUP( T_ApifImport[[#This Row],[ld]], T_Aop[], 4, 0)</f>
        <v>7</v>
      </c>
      <c r="D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29" t="s">
        <v>771</v>
      </c>
    </row>
    <row r="9" spans="2:23" x14ac:dyDescent="0.2">
      <c r="B9" s="84">
        <f>VLOOKUP( T_ApifImport[[#This Row],[Bilans]], T_Bilansi[], 4, 0)</f>
        <v>25</v>
      </c>
      <c r="C9" s="228">
        <f>VLOOKUP( T_ApifImport[[#This Row],[ld]], T_Aop[], 4, 0)</f>
        <v>8</v>
      </c>
      <c r="D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339841761</v>
      </c>
      <c r="F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199525964</v>
      </c>
      <c r="G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140315797</v>
      </c>
      <c r="H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140430031</v>
      </c>
      <c r="I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29" t="s">
        <v>771</v>
      </c>
    </row>
    <row r="10" spans="2:23" x14ac:dyDescent="0.2">
      <c r="B10" s="84">
        <f>VLOOKUP( T_ApifImport[[#This Row],[Bilans]], T_Bilansi[], 4, 0)</f>
        <v>25</v>
      </c>
      <c r="C10" s="228">
        <f>VLOOKUP( T_ApifImport[[#This Row],[ld]], T_Aop[], 4, 0)</f>
        <v>9</v>
      </c>
      <c r="D1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29" t="s">
        <v>771</v>
      </c>
    </row>
    <row r="11" spans="2:23" x14ac:dyDescent="0.2">
      <c r="B11" s="84">
        <f>VLOOKUP( T_ApifImport[[#This Row],[Bilans]], T_Bilansi[], 4, 0)</f>
        <v>25</v>
      </c>
      <c r="C11" s="228">
        <f>VLOOKUP( T_ApifImport[[#This Row],[ld]], T_Aop[], 4, 0)</f>
        <v>10</v>
      </c>
      <c r="D11"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67174773</v>
      </c>
      <c r="F1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19079452</v>
      </c>
      <c r="G1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48095321</v>
      </c>
      <c r="H1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47759564</v>
      </c>
      <c r="I1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29" t="s">
        <v>771</v>
      </c>
    </row>
    <row r="12" spans="2:23" x14ac:dyDescent="0.2">
      <c r="B12" s="84">
        <f>VLOOKUP( T_ApifImport[[#This Row],[Bilans]], T_Bilansi[], 4, 0)</f>
        <v>25</v>
      </c>
      <c r="C12" s="228">
        <f>VLOOKUP( T_ApifImport[[#This Row],[ld]], T_Aop[], 4, 0)</f>
        <v>11</v>
      </c>
      <c r="D1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261955010</v>
      </c>
      <c r="F1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180446512</v>
      </c>
      <c r="G1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81508498</v>
      </c>
      <c r="H1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82004567</v>
      </c>
      <c r="I1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29" t="s">
        <v>771</v>
      </c>
    </row>
    <row r="13" spans="2:23" x14ac:dyDescent="0.2">
      <c r="B13" s="84">
        <f>VLOOKUP( T_ApifImport[[#This Row],[Bilans]], T_Bilansi[], 4, 0)</f>
        <v>25</v>
      </c>
      <c r="C13" s="228">
        <f>VLOOKUP( T_ApifImport[[#This Row],[ld]], T_Aop[], 4, 0)</f>
        <v>12</v>
      </c>
      <c r="D1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29" t="s">
        <v>771</v>
      </c>
    </row>
    <row r="14" spans="2:23" x14ac:dyDescent="0.2">
      <c r="B14" s="84">
        <f>VLOOKUP( T_ApifImport[[#This Row],[Bilans]], T_Bilansi[], 4, 0)</f>
        <v>25</v>
      </c>
      <c r="C14" s="228">
        <f>VLOOKUP( T_ApifImport[[#This Row],[ld]], T_Aop[], 4, 0)</f>
        <v>13</v>
      </c>
      <c r="D1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29" t="s">
        <v>771</v>
      </c>
    </row>
    <row r="15" spans="2:23" x14ac:dyDescent="0.2">
      <c r="B15" s="84">
        <f>VLOOKUP( T_ApifImport[[#This Row],[Bilans]], T_Bilansi[], 4, 0)</f>
        <v>25</v>
      </c>
      <c r="C15" s="228">
        <f>VLOOKUP( T_ApifImport[[#This Row],[ld]], T_Aop[], 4, 0)</f>
        <v>14</v>
      </c>
      <c r="D1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10369646</v>
      </c>
      <c r="F1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10369646</v>
      </c>
      <c r="H1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10323568</v>
      </c>
      <c r="I1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29" t="s">
        <v>771</v>
      </c>
      <c r="Q15" s="505"/>
      <c r="R15" s="505"/>
      <c r="S15" s="505"/>
      <c r="T15" s="505"/>
      <c r="U15" s="505"/>
      <c r="V15" s="505"/>
      <c r="W15" s="505"/>
    </row>
    <row r="16" spans="2:23" x14ac:dyDescent="0.2">
      <c r="B16" s="84">
        <f>VLOOKUP( T_ApifImport[[#This Row],[Bilans]], T_Bilansi[], 4, 0)</f>
        <v>25</v>
      </c>
      <c r="C16" s="228">
        <f>VLOOKUP( T_ApifImport[[#This Row],[ld]], T_Aop[], 4, 0)</f>
        <v>15</v>
      </c>
      <c r="D1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413264</v>
      </c>
      <c r="F1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4424</v>
      </c>
      <c r="G1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408840</v>
      </c>
      <c r="H1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289785</v>
      </c>
      <c r="I1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29" t="s">
        <v>771</v>
      </c>
      <c r="Q16" s="8" t="s">
        <v>776</v>
      </c>
      <c r="R16" s="505"/>
      <c r="S16" s="505"/>
      <c r="T16" s="505"/>
      <c r="U16" s="505"/>
      <c r="V16" s="505"/>
      <c r="W16" s="505"/>
    </row>
    <row r="17" spans="2:17" x14ac:dyDescent="0.2">
      <c r="B17" s="84">
        <f>VLOOKUP( T_ApifImport[[#This Row],[Bilans]], T_Bilansi[], 4, 0)</f>
        <v>25</v>
      </c>
      <c r="C17" s="228">
        <f>VLOOKUP( T_ApifImport[[#This Row],[ld]], T_Aop[], 4, 0)</f>
        <v>16</v>
      </c>
      <c r="D1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29" t="s">
        <v>771</v>
      </c>
      <c r="Q17" s="8" t="s">
        <v>777</v>
      </c>
    </row>
    <row r="18" spans="2:17" x14ac:dyDescent="0.2">
      <c r="B18" s="84">
        <f>VLOOKUP( T_ApifImport[[#This Row],[Bilans]], T_Bilansi[], 4, 0)</f>
        <v>25</v>
      </c>
      <c r="C18" s="228">
        <f>VLOOKUP( T_ApifImport[[#This Row],[ld]], T_Aop[], 4, 0)</f>
        <v>17</v>
      </c>
      <c r="D1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29" t="s">
        <v>771</v>
      </c>
    </row>
    <row r="19" spans="2:17" x14ac:dyDescent="0.2">
      <c r="B19" s="84">
        <f>VLOOKUP( T_ApifImport[[#This Row],[Bilans]], T_Bilansi[], 4, 0)</f>
        <v>25</v>
      </c>
      <c r="C19" s="228">
        <f>VLOOKUP( T_ApifImport[[#This Row],[ld]], T_Aop[], 4, 0)</f>
        <v>18</v>
      </c>
      <c r="D1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29" t="s">
        <v>771</v>
      </c>
    </row>
    <row r="20" spans="2:17" x14ac:dyDescent="0.2">
      <c r="B20" s="84">
        <f>VLOOKUP( T_ApifImport[[#This Row],[Bilans]], T_Bilansi[], 4, 0)</f>
        <v>25</v>
      </c>
      <c r="C20" s="228">
        <f>VLOOKUP( T_ApifImport[[#This Row],[ld]], T_Aop[], 4, 0)</f>
        <v>19</v>
      </c>
      <c r="D2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29" t="s">
        <v>771</v>
      </c>
    </row>
    <row r="21" spans="2:17" x14ac:dyDescent="0.2">
      <c r="B21" s="84">
        <f>IF(AND([0]!Godina=2024,MID(Osnovni_podaci!D20,3,1)="e",Osnovni_podaci!L24=5,Osnovni_podaci!G24=0,MID(Osnovni_podaci!D20,3,1)="e",MID(Osnovni_podaci!D20,8,1)="d"),VLOOKUP( T_ApifImport[[#This Row],[Bilans]], T_Bilansi[], 4, 0),A1)</f>
        <v>25</v>
      </c>
      <c r="C21" s="228">
        <f>VLOOKUP( T_ApifImport[[#This Row],[ld]], T_Aop[], 4, 0)</f>
        <v>20</v>
      </c>
      <c r="D21"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29" t="s">
        <v>771</v>
      </c>
    </row>
    <row r="22" spans="2:17" x14ac:dyDescent="0.2">
      <c r="B22" s="84">
        <f>IF(AND([0]!Godina=2024,MID(Osnovni_podaci!D20,3,1)="e",Osnovni_podaci!L24=5,Osnovni_podaci!G24=0,MID(Osnovni_podaci!D20,3,1)="e",MID(Osnovni_podaci!D20,8,1)="d"),VLOOKUP( T_ApifImport[[#This Row],[Bilans]], T_Bilansi[], 4, 0),A1)</f>
        <v>25</v>
      </c>
      <c r="C22" s="228">
        <f>VLOOKUP( T_ApifImport[[#This Row],[ld]], T_Aop[], 4, 0)</f>
        <v>21</v>
      </c>
      <c r="D22"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29" t="s">
        <v>771</v>
      </c>
    </row>
    <row r="23" spans="2:17" x14ac:dyDescent="0.2">
      <c r="B23" s="84">
        <f>IF(AND([0]!Godina=2024,MID(Osnovni_podaci!D20,3,1)="e",Osnovni_podaci!L24=5,Osnovni_podaci!G24=0,MID(Osnovni_podaci!D20,3,1)="e",MID(Osnovni_podaci!D20,8,1)="d"),VLOOKUP( T_ApifImport[[#This Row],[Bilans]], T_Bilansi[], 4, 0),A1)</f>
        <v>25</v>
      </c>
      <c r="C23" s="228">
        <f>VLOOKUP( T_ApifImport[[#This Row],[ld]], T_Aop[], 4, 0)</f>
        <v>22</v>
      </c>
      <c r="D23"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946275</v>
      </c>
      <c r="F2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47270</v>
      </c>
      <c r="H2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2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29" t="s">
        <v>771</v>
      </c>
    </row>
    <row r="24" spans="2:17" x14ac:dyDescent="0.2">
      <c r="B24" s="84">
        <f>IF(AND([0]!Godina=2024,MID(Osnovni_podaci!D20,3,1)="e",Osnovni_podaci!L24=5,Osnovni_podaci!G24=0,MID(Osnovni_podaci!D20,3,1)="e",MID(Osnovni_podaci!D20,8,1)="d"),VLOOKUP( T_ApifImport[[#This Row],[Bilans]], T_Bilansi[], 4, 0),A1)</f>
        <v>25</v>
      </c>
      <c r="C24" s="228">
        <f>VLOOKUP( T_ApifImport[[#This Row],[ld]], T_Aop[], 4, 0)</f>
        <v>23</v>
      </c>
      <c r="D24"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29" t="s">
        <v>771</v>
      </c>
    </row>
    <row r="25" spans="2:17" x14ac:dyDescent="0.2">
      <c r="B25" s="84">
        <f>IF(AND([0]!Godina=2024,MID(Osnovni_podaci!D20,3,1)="e",Osnovni_podaci!L24=5,Osnovni_podaci!G24=0,MID(Osnovni_podaci!D20,3,1)="e",MID(Osnovni_podaci!D20,8,1)="d"),VLOOKUP( T_ApifImport[[#This Row],[Bilans]], T_Bilansi[], 4, 0),A1)</f>
        <v>25</v>
      </c>
      <c r="C25" s="228">
        <f>VLOOKUP( T_ApifImport[[#This Row],[ld]], T_Aop[], 4, 0)</f>
        <v>24</v>
      </c>
      <c r="D25"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29" t="s">
        <v>771</v>
      </c>
    </row>
    <row r="26" spans="2:17" x14ac:dyDescent="0.2">
      <c r="B26" s="84">
        <f>IF(AND([0]!Godina=2024,MID(Osnovni_podaci!D20,3,1)="e",Osnovni_podaci!L24=5,Osnovni_podaci!G24=0,MID(Osnovni_podaci!D20,3,1)="e",MID(Osnovni_podaci!D20,8,1)="d"),VLOOKUP( T_ApifImport[[#This Row],[Bilans]], T_Bilansi[], 4, 0),A1)</f>
        <v>25</v>
      </c>
      <c r="C26" s="228">
        <f>VLOOKUP( T_ApifImport[[#This Row],[ld]], T_Aop[], 4, 0)</f>
        <v>25</v>
      </c>
      <c r="D26"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29" t="s">
        <v>771</v>
      </c>
    </row>
    <row r="27" spans="2:17" x14ac:dyDescent="0.2">
      <c r="B27" s="84">
        <f>IF(AND([0]!Godina=2024,MID(Osnovni_podaci!D20,3,1)="e",Osnovni_podaci!L24=5,Osnovni_podaci!G24=0,MID(Osnovni_podaci!D20,3,1)="e",MID(Osnovni_podaci!D20,8,1)="d"),VLOOKUP( T_ApifImport[[#This Row],[Bilans]], T_Bilansi[], 4, 0),A1)</f>
        <v>25</v>
      </c>
      <c r="C27" s="228">
        <f>VLOOKUP( T_ApifImport[[#This Row],[ld]], T_Aop[], 4, 0)</f>
        <v>26</v>
      </c>
      <c r="D27"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29" t="s">
        <v>771</v>
      </c>
    </row>
    <row r="28" spans="2:17" x14ac:dyDescent="0.2">
      <c r="B28" s="84">
        <f>IF(AND([0]!Godina=2024,MID(Osnovni_podaci!D20,3,1)="e",Osnovni_podaci!L24=5,Osnovni_podaci!G24=0,MID(Osnovni_podaci!D20,3,1)="e",MID(Osnovni_podaci!D20,8,1)="d"),VLOOKUP( T_ApifImport[[#This Row],[Bilans]], T_Bilansi[], 4, 0),A1)</f>
        <v>25</v>
      </c>
      <c r="C28" s="228">
        <f>VLOOKUP( T_ApifImport[[#This Row],[ld]], T_Aop[], 4, 0)</f>
        <v>27</v>
      </c>
      <c r="D28"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29" t="s">
        <v>771</v>
      </c>
    </row>
    <row r="29" spans="2:17" x14ac:dyDescent="0.2">
      <c r="B29" s="44">
        <f>IF(AND([0]!Godina=2024,MID(Osnovni_podaci!D20,3,1)="e",Osnovni_podaci!L24=5,Osnovni_podaci!G24=0,MID(Osnovni_podaci!D20,3,1)="e",MID(Osnovni_podaci!D20,8,1)="d"),VLOOKUP( T_ApifImport[[#This Row],[Bilans]], T_Bilansi[], 4, 0),A1)</f>
        <v>25</v>
      </c>
      <c r="C29" s="226">
        <f>VLOOKUP( T_ApifImport[[#This Row],[ld]], T_Aop[], 4, 0)</f>
        <v>28</v>
      </c>
      <c r="D2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7" t="s">
        <v>771</v>
      </c>
    </row>
    <row r="30" spans="2:17" x14ac:dyDescent="0.2">
      <c r="B30" s="44">
        <f>IF(AND([0]!Godina=2024,MID(Osnovni_podaci!D20,3,1)="e",Osnovni_podaci!L24=5,Osnovni_podaci!G24=0,MID(Osnovni_podaci!D20,3,1)="e",MID(Osnovni_podaci!D20,8,1)="d"),VLOOKUP( T_ApifImport[[#This Row],[Bilans]], T_Bilansi[], 4, 0),A1)</f>
        <v>25</v>
      </c>
      <c r="C30" s="226">
        <f>VLOOKUP( T_ApifImport[[#This Row],[ld]], T_Aop[], 4, 0)</f>
        <v>29</v>
      </c>
      <c r="D3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7" t="s">
        <v>771</v>
      </c>
    </row>
    <row r="31" spans="2:17" x14ac:dyDescent="0.2">
      <c r="B31" s="44">
        <f>IF(AND([0]!Godina=2024,MID(Osnovni_podaci!D20,3,1)="e",Osnovni_podaci!L24=5,Osnovni_podaci!G24=0,MID(Osnovni_podaci!D20,3,1)="e",MID(Osnovni_podaci!D20,8,1)="d"),VLOOKUP( T_ApifImport[[#This Row],[Bilans]], T_Bilansi[], 4, 0),A1)</f>
        <v>25</v>
      </c>
      <c r="C31" s="226">
        <f>VLOOKUP( T_ApifImport[[#This Row],[ld]], T_Aop[], 4, 0)</f>
        <v>30</v>
      </c>
      <c r="D3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47270</v>
      </c>
      <c r="F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47270</v>
      </c>
      <c r="H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7" t="s">
        <v>771</v>
      </c>
    </row>
    <row r="32" spans="2:17" x14ac:dyDescent="0.2">
      <c r="B32" s="44">
        <f>IF(AND([0]!Godina=2024,MID(Osnovni_podaci!D20,3,1)="e",Osnovni_podaci!L24=5,Osnovni_podaci!G24=0,MID(Osnovni_podaci!D20,3,1)="e",MID(Osnovni_podaci!D20,8,1)="d"),VLOOKUP( T_ApifImport[[#This Row],[Bilans]], T_Bilansi[], 4, 0),A1)</f>
        <v>25</v>
      </c>
      <c r="C32" s="226">
        <f>VLOOKUP( T_ApifImport[[#This Row],[ld]], T_Aop[], 4, 0)</f>
        <v>31</v>
      </c>
      <c r="D3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7" t="s">
        <v>771</v>
      </c>
    </row>
    <row r="33" spans="2:16" x14ac:dyDescent="0.2">
      <c r="B33" s="44">
        <f>IF(AND([0]!Godina=2024,MID(Osnovni_podaci!D20,3,1)="e",Osnovni_podaci!L24=5,Osnovni_podaci!G24=0,MID(Osnovni_podaci!D20,3,1)="e",MID(Osnovni_podaci!D20,8,1)="d"),VLOOKUP( T_ApifImport[[#This Row],[Bilans]], T_Bilansi[], 4, 0),A1)</f>
        <v>25</v>
      </c>
      <c r="C33" s="226">
        <f>VLOOKUP( T_ApifImport[[#This Row],[ld]], T_Aop[], 4, 0)</f>
        <v>32</v>
      </c>
      <c r="D3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47270</v>
      </c>
      <c r="F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47270</v>
      </c>
      <c r="H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7" t="s">
        <v>771</v>
      </c>
    </row>
    <row r="34" spans="2:16" x14ac:dyDescent="0.2">
      <c r="B34" s="44">
        <f>IF(AND([0]!Godina=2024,MID(Osnovni_podaci!D20,3,1)="e",Osnovni_podaci!L24=5,Osnovni_podaci!G24=0,MID(Osnovni_podaci!D20,3,1)="e",MID(Osnovni_podaci!D20,8,1)="d"),VLOOKUP( T_ApifImport[[#This Row],[Bilans]], T_Bilansi[], 4, 0),A1)</f>
        <v>25</v>
      </c>
      <c r="C34" s="226">
        <f>VLOOKUP( T_ApifImport[[#This Row],[ld]], T_Aop[], 4, 0)</f>
        <v>33</v>
      </c>
      <c r="D3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7" t="s">
        <v>771</v>
      </c>
    </row>
    <row r="35" spans="2:16" x14ac:dyDescent="0.2">
      <c r="B35" s="44">
        <f>IF(AND([0]!Godina=2024,MID(Osnovni_podaci!D20,3,1)="e",Osnovni_podaci!L24=5,Osnovni_podaci!G24=0,MID(Osnovni_podaci!D20,3,1)="e",MID(Osnovni_podaci!D20,8,1)="d"),VLOOKUP( T_ApifImport[[#This Row],[Bilans]], T_Bilansi[], 4, 0),A1)</f>
        <v>25</v>
      </c>
      <c r="C35" s="226">
        <f>VLOOKUP( T_ApifImport[[#This Row],[ld]], T_Aop[], 4, 0)</f>
        <v>34</v>
      </c>
      <c r="D3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7" t="s">
        <v>771</v>
      </c>
    </row>
    <row r="36" spans="2:16" x14ac:dyDescent="0.2">
      <c r="B36" s="44">
        <f>IF(AND([0]!Godina=2024,MID(Osnovni_podaci!D20,3,1)="e",Osnovni_podaci!L24=5,Osnovni_podaci!G24=0,MID(Osnovni_podaci!D20,3,1)="e",MID(Osnovni_podaci!D20,8,1)="d"),VLOOKUP( T_ApifImport[[#This Row],[Bilans]], T_Bilansi[], 4, 0),A1)</f>
        <v>25</v>
      </c>
      <c r="C36" s="226">
        <f>VLOOKUP( T_ApifImport[[#This Row],[ld]], T_Aop[], 4, 0)</f>
        <v>35</v>
      </c>
      <c r="D3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F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H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I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7" t="s">
        <v>771</v>
      </c>
    </row>
    <row r="37" spans="2:16" x14ac:dyDescent="0.2">
      <c r="B37" s="44">
        <f>IF(AND([0]!Godina=2024,MID(Osnovni_podaci!D20,3,1)="e",Osnovni_podaci!L24=5,Osnovni_podaci!G24=0,MID(Osnovni_podaci!D20,3,1)="e",MID(Osnovni_podaci!D20,8,1)="d"),VLOOKUP( T_ApifImport[[#This Row],[Bilans]], T_Bilansi[], 4, 0),A1)</f>
        <v>25</v>
      </c>
      <c r="C37" s="226">
        <f>VLOOKUP( T_ApifImport[[#This Row],[ld]], T_Aop[], 4, 0)</f>
        <v>36</v>
      </c>
      <c r="D3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61515872</v>
      </c>
      <c r="F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49668978</v>
      </c>
      <c r="G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11846894</v>
      </c>
      <c r="H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12969864</v>
      </c>
      <c r="I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7" t="s">
        <v>771</v>
      </c>
    </row>
    <row r="38" spans="2:16" x14ac:dyDescent="0.2">
      <c r="B38" s="44">
        <f>IF(AND([0]!Godina=2024,MID(Osnovni_podaci!D20,3,1)="e",Osnovni_podaci!L24=5,Osnovni_podaci!G24=0,MID(Osnovni_podaci!D20,3,1)="e",MID(Osnovni_podaci!D20,8,1)="d"),VLOOKUP( T_ApifImport[[#This Row],[Bilans]], T_Bilansi[], 4, 0),A1)</f>
        <v>25</v>
      </c>
      <c r="C38" s="226">
        <f>VLOOKUP( T_ApifImport[[#This Row],[ld]], T_Aop[], 4, 0)</f>
        <v>37</v>
      </c>
      <c r="D3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5164846</v>
      </c>
      <c r="F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1316186</v>
      </c>
      <c r="G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3848660</v>
      </c>
      <c r="H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3403605</v>
      </c>
      <c r="I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7" t="s">
        <v>771</v>
      </c>
    </row>
    <row r="39" spans="2:16" x14ac:dyDescent="0.2">
      <c r="B39" s="44">
        <f>IF(AND([0]!Godina=2024,MID(Osnovni_podaci!D20,3,1)="e",Osnovni_podaci!L24=5,Osnovni_podaci!G24=0,MID(Osnovni_podaci!D20,3,1)="e",MID(Osnovni_podaci!D20,8,1)="d"),VLOOKUP( T_ApifImport[[#This Row],[Bilans]], T_Bilansi[], 4, 0),A1)</f>
        <v>25</v>
      </c>
      <c r="C39" s="226">
        <f>VLOOKUP( T_ApifImport[[#This Row],[ld]], T_Aop[], 4, 0)</f>
        <v>38</v>
      </c>
      <c r="D3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5070204</v>
      </c>
      <c r="F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1239859</v>
      </c>
      <c r="G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3830345</v>
      </c>
      <c r="H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3385290</v>
      </c>
      <c r="I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7" t="s">
        <v>771</v>
      </c>
    </row>
    <row r="40" spans="2:16" x14ac:dyDescent="0.2">
      <c r="B40" s="44">
        <f>IF(AND([0]!Godina=2024,MID(Osnovni_podaci!D20,3,1)="e",Osnovni_podaci!L24=5,Osnovni_podaci!G24=0,MID(Osnovni_podaci!D20,3,1)="e",MID(Osnovni_podaci!D20,8,1)="d"),VLOOKUP( T_ApifImport[[#This Row],[Bilans]], T_Bilansi[], 4, 0),A1)</f>
        <v>25</v>
      </c>
      <c r="C40" s="226">
        <f>VLOOKUP( T_ApifImport[[#This Row],[ld]], T_Aop[], 4, 0)</f>
        <v>39</v>
      </c>
      <c r="D4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7" t="s">
        <v>771</v>
      </c>
    </row>
    <row r="41" spans="2:16" x14ac:dyDescent="0.2">
      <c r="B41" s="44">
        <f>IF(AND([0]!Godina=2024,MID(Osnovni_podaci!D20,3,1)="e",Osnovni_podaci!L24=5,Osnovni_podaci!G24=0,MID(Osnovni_podaci!D20,3,1)="e",MID(Osnovni_podaci!D20,8,1)="d"),VLOOKUP( T_ApifImport[[#This Row],[Bilans]], T_Bilansi[], 4, 0),A1)</f>
        <v>25</v>
      </c>
      <c r="C41" s="226">
        <f>VLOOKUP( T_ApifImport[[#This Row],[ld]], T_Aop[], 4, 0)</f>
        <v>40</v>
      </c>
      <c r="D4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7" t="s">
        <v>771</v>
      </c>
    </row>
    <row r="42" spans="2:16" x14ac:dyDescent="0.2">
      <c r="B42" s="44">
        <f>IF(AND([0]!Godina=2024,MID(Osnovni_podaci!D20,3,1)="e",Osnovni_podaci!L24=5,Osnovni_podaci!G24=0,MID(Osnovni_podaci!D20,3,1)="e",MID(Osnovni_podaci!D20,8,1)="d"),VLOOKUP( T_ApifImport[[#This Row],[Bilans]], T_Bilansi[], 4, 0),A1)</f>
        <v>25</v>
      </c>
      <c r="C42" s="226">
        <f>VLOOKUP( T_ApifImport[[#This Row],[ld]], T_Aop[], 4, 0)</f>
        <v>41</v>
      </c>
      <c r="D4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7" t="s">
        <v>771</v>
      </c>
    </row>
    <row r="43" spans="2:16" x14ac:dyDescent="0.2">
      <c r="B43" s="44">
        <f>IF(AND([0]!Godina=2024,MID(Osnovni_podaci!D20,3,1)="e",Osnovni_podaci!L24=5,Osnovni_podaci!G24=0,MID(Osnovni_podaci!D20,3,1)="e",MID(Osnovni_podaci!D20,8,1)="d"),VLOOKUP( T_ApifImport[[#This Row],[Bilans]], T_Bilansi[], 4, 0),A1)</f>
        <v>25</v>
      </c>
      <c r="C43" s="226">
        <f>VLOOKUP( T_ApifImport[[#This Row],[ld]], T_Aop[], 4, 0)</f>
        <v>42</v>
      </c>
      <c r="D4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7" t="s">
        <v>771</v>
      </c>
    </row>
    <row r="44" spans="2:16" x14ac:dyDescent="0.2">
      <c r="B44" s="44">
        <f>IF(AND([0]!Godina=2024,MID(Osnovni_podaci!D20,3,1)="e",Osnovni_podaci!L24=5,Osnovni_podaci!G24=0,MID(Osnovni_podaci!D20,3,1)="e",MID(Osnovni_podaci!D20,8,1)="d"),VLOOKUP( T_ApifImport[[#This Row],[Bilans]], T_Bilansi[], 4, 0),A1)</f>
        <v>25</v>
      </c>
      <c r="C44" s="226">
        <f>VLOOKUP( T_ApifImport[[#This Row],[ld]], T_Aop[], 4, 0)</f>
        <v>43</v>
      </c>
      <c r="D4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F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H4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I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7" t="s">
        <v>771</v>
      </c>
    </row>
    <row r="45" spans="2:16" x14ac:dyDescent="0.2">
      <c r="B45" s="44">
        <f>IF(AND([0]!Godina=2024,MID(Osnovni_podaci!D20,3,1)="e",Osnovni_podaci!L24=5,Osnovni_podaci!G24=0,MID(Osnovni_podaci!D20,3,1)="e",MID(Osnovni_podaci!D20,8,1)="d"),VLOOKUP( T_ApifImport[[#This Row],[Bilans]], T_Bilansi[], 4, 0),A1)</f>
        <v>25</v>
      </c>
      <c r="C45" s="226">
        <f>VLOOKUP( T_ApifImport[[#This Row],[ld]], T_Aop[], 4, 0)</f>
        <v>44</v>
      </c>
      <c r="D4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56351026</v>
      </c>
      <c r="F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48352792</v>
      </c>
      <c r="G4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7998234</v>
      </c>
      <c r="H4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9566259</v>
      </c>
      <c r="I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7" t="s">
        <v>771</v>
      </c>
    </row>
    <row r="46" spans="2:16" x14ac:dyDescent="0.2">
      <c r="B46" s="44">
        <f>IF(AND([0]!Godina=2024,MID(Osnovni_podaci!D20,3,1)="e",Osnovni_podaci!L24=5,Osnovni_podaci!G24=0,MID(Osnovni_podaci!D20,3,1)="e",MID(Osnovni_podaci!D20,8,1)="d"),VLOOKUP( T_ApifImport[[#This Row],[Bilans]], T_Bilansi[], 4, 0),A1)</f>
        <v>25</v>
      </c>
      <c r="C46" s="226">
        <f>VLOOKUP( T_ApifImport[[#This Row],[ld]], T_Aop[], 4, 0)</f>
        <v>45</v>
      </c>
      <c r="D4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52879443</v>
      </c>
      <c r="F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48103812</v>
      </c>
      <c r="G4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4775631</v>
      </c>
      <c r="H4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5188300</v>
      </c>
      <c r="I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7" t="s">
        <v>771</v>
      </c>
    </row>
    <row r="47" spans="2:16" x14ac:dyDescent="0.2">
      <c r="B47" s="44">
        <f>IF(AND([0]!Godina=2024,MID(Osnovni_podaci!D20,3,1)="e",Osnovni_podaci!L24=5,Osnovni_podaci!G24=0,MID(Osnovni_podaci!D20,3,1)="e",MID(Osnovni_podaci!D20,8,1)="d"),VLOOKUP( T_ApifImport[[#This Row],[Bilans]], T_Bilansi[], 4, 0),A1)</f>
        <v>25</v>
      </c>
      <c r="C47" s="226">
        <f>VLOOKUP( T_ApifImport[[#This Row],[ld]], T_Aop[], 4, 0)</f>
        <v>46</v>
      </c>
      <c r="D4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4658942</v>
      </c>
      <c r="F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50513</v>
      </c>
      <c r="G4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4608429</v>
      </c>
      <c r="H4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4997963</v>
      </c>
      <c r="I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7" t="s">
        <v>771</v>
      </c>
    </row>
    <row r="48" spans="2:16" x14ac:dyDescent="0.2">
      <c r="B48" s="44">
        <f>IF(AND([0]!Godina=2024,MID(Osnovni_podaci!D20,3,1)="e",Osnovni_podaci!L24=5,Osnovni_podaci!G24=0,MID(Osnovni_podaci!D20,3,1)="e",MID(Osnovni_podaci!D20,8,1)="d"),VLOOKUP( T_ApifImport[[#This Row],[Bilans]], T_Bilansi[], 4, 0),A1)</f>
        <v>25</v>
      </c>
      <c r="C48" s="226">
        <f>VLOOKUP( T_ApifImport[[#This Row],[ld]], T_Aop[], 4, 0)</f>
        <v>47</v>
      </c>
      <c r="D4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40087729</v>
      </c>
      <c r="F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39953156</v>
      </c>
      <c r="G4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134573</v>
      </c>
      <c r="H4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I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7" t="s">
        <v>771</v>
      </c>
    </row>
    <row r="49" spans="2:16" x14ac:dyDescent="0.2">
      <c r="B49" s="44">
        <f>IF(AND([0]!Godina=2024,MID(Osnovni_podaci!D20,3,1)="e",Osnovni_podaci!L24=5,Osnovni_podaci!G24=0,MID(Osnovni_podaci!D20,3,1)="e",MID(Osnovni_podaci!D20,8,1)="d"),VLOOKUP( T_ApifImport[[#This Row],[Bilans]], T_Bilansi[], 4, 0),A1)</f>
        <v>25</v>
      </c>
      <c r="C49" s="226">
        <f>VLOOKUP( T_ApifImport[[#This Row],[ld]], T_Aop[], 4, 0)</f>
        <v>48</v>
      </c>
      <c r="D4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7" t="s">
        <v>771</v>
      </c>
    </row>
    <row r="50" spans="2:16" x14ac:dyDescent="0.2">
      <c r="B50" s="44">
        <f>IF(AND([0]!Godina=2024,MID(Osnovni_podaci!D20,3,1)="e",Osnovni_podaci!L24=5,Osnovni_podaci!G24=0,MID(Osnovni_podaci!D20,3,1)="e",MID(Osnovni_podaci!D20,8,1)="d"),VLOOKUP( T_ApifImport[[#This Row],[Bilans]], T_Bilansi[], 4, 0),A1)</f>
        <v>25</v>
      </c>
      <c r="C50" s="226">
        <f>IF(AND([0]!Godina=2024,MID(Osnovni_podaci!D20,3,1)="e",Osnovni_podaci!L24=5,Osnovni_podaci!G24=0,MID(Osnovni_podaci!D20,3,1)="e",MID(Osnovni_podaci!D20,8,1)="d"),VLOOKUP( T_ApifImport[[#This Row],[ld]], T_Aop[], 4, 0),A1)</f>
        <v>49</v>
      </c>
      <c r="D5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7" t="s">
        <v>771</v>
      </c>
    </row>
    <row r="51" spans="2:16" x14ac:dyDescent="0.2">
      <c r="B51" s="44">
        <f>IF(AND([0]!Godina=2024,MID(Osnovni_podaci!D20,3,1)="e",Osnovni_podaci!L24=5,Osnovni_podaci!G24=0,MID(Osnovni_podaci!D20,3,1)="e",MID(Osnovni_podaci!D20,8,1)="d"),VLOOKUP( T_ApifImport[[#This Row],[Bilans]], T_Bilansi[], 4, 0),A1)</f>
        <v>25</v>
      </c>
      <c r="C51" s="226">
        <f>IF(AND([0]!Godina=2024,MID(Osnovni_podaci!D20,3,1)="e",Osnovni_podaci!L24=5,Osnovni_podaci!G24=0,MID(Osnovni_podaci!D20,3,1)="e",MID(Osnovni_podaci!D20,8,1)="d"),VLOOKUP( T_ApifImport[[#This Row],[ld]], T_Aop[], 4, 0),A1)</f>
        <v>50</v>
      </c>
      <c r="D5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8116772</v>
      </c>
      <c r="F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G5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16629</v>
      </c>
      <c r="H5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70734</v>
      </c>
      <c r="I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7" t="s">
        <v>771</v>
      </c>
    </row>
    <row r="52" spans="2:16" x14ac:dyDescent="0.2">
      <c r="B52" s="44">
        <f>IF(AND([0]!Godina=2024,MID(Osnovni_podaci!D20,3,1)="e",Osnovni_podaci!L24=5,Osnovni_podaci!G24=0,MID(Osnovni_podaci!D20,3,1)="e",MID(Osnovni_podaci!D20,8,1)="d"),VLOOKUP( T_ApifImport[[#This Row],[Bilans]], T_Bilansi[], 4, 0),A1)</f>
        <v>25</v>
      </c>
      <c r="C52" s="226">
        <f>IF(AND([0]!Godina=2024,MID(Osnovni_podaci!D20,3,1)="e",Osnovni_podaci!L24=5,Osnovni_podaci!G24=0,MID(Osnovni_podaci!D20,3,1)="e",MID(Osnovni_podaci!D20,8,1)="d"),VLOOKUP( T_ApifImport[[#This Row],[ld]], T_Aop[], 4, 0),A1)</f>
        <v>51</v>
      </c>
      <c r="D5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16000</v>
      </c>
      <c r="F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16000</v>
      </c>
      <c r="H5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7" t="s">
        <v>771</v>
      </c>
    </row>
    <row r="53" spans="2:16" x14ac:dyDescent="0.2">
      <c r="B53" s="44">
        <f>IF(AND([0]!Godina=2024,MID(Osnovni_podaci!D20,3,1)="e",Osnovni_podaci!L24=5,Osnovni_podaci!G24=0,MID(Osnovni_podaci!D20,3,1)="e",MID(Osnovni_podaci!D20,8,1)="d"),VLOOKUP( T_ApifImport[[#This Row],[Bilans]], T_Bilansi[], 4, 0),A1)</f>
        <v>25</v>
      </c>
      <c r="C53" s="226">
        <f>IF(AND([0]!Godina=2024,MID(Osnovni_podaci!D20,3,1)="e",Osnovni_podaci!L24=5,Osnovni_podaci!G24=0,MID(Osnovni_podaci!D20,3,1)="e",MID(Osnovni_podaci!D20,8,1)="d"),VLOOKUP( T_ApifImport[[#This Row],[ld]], T_Aop[], 4, 0),A1)</f>
        <v>52</v>
      </c>
      <c r="D5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258113</v>
      </c>
      <c r="F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248980</v>
      </c>
      <c r="G5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7" t="s">
        <v>771</v>
      </c>
    </row>
    <row r="54" spans="2:16" x14ac:dyDescent="0.2">
      <c r="B54" s="44">
        <f>IF(AND([0]!Godina=2024,MID(Osnovni_podaci!D20,3,1)="e",Osnovni_podaci!L24=5,Osnovni_podaci!G24=0,MID(Osnovni_podaci!D20,3,1)="e",MID(Osnovni_podaci!D20,8,1)="d"),VLOOKUP( T_ApifImport[[#This Row],[Bilans]], T_Bilansi[], 4, 0),A1)</f>
        <v>25</v>
      </c>
      <c r="C54" s="226">
        <f>IF(AND([0]!Godina=2024,MID(Osnovni_podaci!D20,3,1)="e",Osnovni_podaci!L24=5,Osnovni_podaci!G24=0,MID(Osnovni_podaci!D20,3,1)="e",MID(Osnovni_podaci!D20,8,1)="d"),VLOOKUP( T_ApifImport[[#This Row],[ld]], T_Aop[], 4, 0),A1)</f>
        <v>53</v>
      </c>
      <c r="D5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258113</v>
      </c>
      <c r="F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248980</v>
      </c>
      <c r="G5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7" t="s">
        <v>771</v>
      </c>
    </row>
    <row r="55" spans="2:16" x14ac:dyDescent="0.2">
      <c r="B55" s="44">
        <f>IF(AND([0]!Godina=2024,MID(Osnovni_podaci!D20,3,1)="e",Osnovni_podaci!L24=5,Osnovni_podaci!G24=0,MID(Osnovni_podaci!D20,3,1)="e",MID(Osnovni_podaci!D20,8,1)="d"),VLOOKUP( T_ApifImport[[#This Row],[Bilans]], T_Bilansi[], 4, 0),A1)</f>
        <v>25</v>
      </c>
      <c r="C55" s="226">
        <f>IF(AND([0]!Godina=2024,MID(Osnovni_podaci!D20,3,1)="e",Osnovni_podaci!L24=5,Osnovni_podaci!G24=0,MID(Osnovni_podaci!D20,3,1)="e",MID(Osnovni_podaci!D20,8,1)="d"),VLOOKUP( T_ApifImport[[#This Row],[ld]], T_Aop[], 4, 0),A1)</f>
        <v>54</v>
      </c>
      <c r="D5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7" t="s">
        <v>771</v>
      </c>
    </row>
    <row r="56" spans="2:16" x14ac:dyDescent="0.2">
      <c r="B56" s="44">
        <f>IF(AND([0]!Godina=2024,MID(Osnovni_podaci!D20,3,1)="e",Osnovni_podaci!L24=5,Osnovni_podaci!G24=0,MID(Osnovni_podaci!D20,3,1)="e",MID(Osnovni_podaci!D20,8,1)="d"),VLOOKUP( T_ApifImport[[#This Row],[Bilans]], T_Bilansi[], 4, 0),A1)</f>
        <v>25</v>
      </c>
      <c r="C56" s="226">
        <f>IF(AND([0]!Godina=2024,MID(Osnovni_podaci!D20,3,1)="e",Osnovni_podaci!L24=5,Osnovni_podaci!G24=0,MID(Osnovni_podaci!D20,3,1)="e",MID(Osnovni_podaci!D20,8,1)="d"),VLOOKUP( T_ApifImport[[#This Row],[ld]], T_Aop[], 4, 0),A1)</f>
        <v>55</v>
      </c>
      <c r="D5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258113</v>
      </c>
      <c r="F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248980</v>
      </c>
      <c r="G5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7" t="s">
        <v>771</v>
      </c>
    </row>
    <row r="57" spans="2:16" x14ac:dyDescent="0.2">
      <c r="B57" s="44">
        <f>IF(AND([0]!Godina=2024,MID(Osnovni_podaci!D20,3,1)="e",Osnovni_podaci!L24=5,Osnovni_podaci!G24=0,MID(Osnovni_podaci!D20,3,1)="e",MID(Osnovni_podaci!D20,8,1)="d"),VLOOKUP( T_ApifImport[[#This Row],[Bilans]], T_Bilansi[], 4, 0),A1)</f>
        <v>25</v>
      </c>
      <c r="C57" s="226">
        <f>IF(AND([0]!Godina=2024,MID(Osnovni_podaci!D20,3,1)="e",Osnovni_podaci!L24=5,Osnovni_podaci!G24=0,MID(Osnovni_podaci!D20,3,1)="e",MID(Osnovni_podaci!D20,8,1)="d"),VLOOKUP( T_ApifImport[[#This Row],[ld]], T_Aop[], 4, 0),A1)</f>
        <v>56</v>
      </c>
      <c r="D5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7" t="s">
        <v>771</v>
      </c>
    </row>
    <row r="58" spans="2:16" x14ac:dyDescent="0.2">
      <c r="B58" s="44">
        <f>IF(AND([0]!Godina=2024,MID(Osnovni_podaci!D20,3,1)="e",Osnovni_podaci!L24=5,Osnovni_podaci!G24=0,MID(Osnovni_podaci!D20,3,1)="e",MID(Osnovni_podaci!D20,8,1)="d"),VLOOKUP( T_ApifImport[[#This Row],[Bilans]], T_Bilansi[], 4, 0),A1)</f>
        <v>25</v>
      </c>
      <c r="C58" s="226">
        <f>IF(AND([0]!Godina=2024,MID(Osnovni_podaci!D20,3,1)="e",Osnovni_podaci!L24=5,Osnovni_podaci!G24=0,MID(Osnovni_podaci!D20,3,1)="e",MID(Osnovni_podaci!D20,8,1)="d"),VLOOKUP( T_ApifImport[[#This Row],[ld]], T_Aop[], 4, 0),A1)</f>
        <v>57</v>
      </c>
      <c r="D5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7" t="s">
        <v>771</v>
      </c>
    </row>
    <row r="59" spans="2:16" x14ac:dyDescent="0.2">
      <c r="B59" s="44">
        <f>IF(AND([0]!Godina=2024,MID(Osnovni_podaci!D20,3,1)="e",Osnovni_podaci!L24=5,Osnovni_podaci!G24=0,MID(Osnovni_podaci!D20,3,1)="e",MID(Osnovni_podaci!D20,8,1)="d"),VLOOKUP( T_ApifImport[[#This Row],[Bilans]], T_Bilansi[], 4, 0),A1)</f>
        <v>25</v>
      </c>
      <c r="C59" s="226">
        <f>IF(AND([0]!Godina=2024,MID(Osnovni_podaci!D20,3,1)="e",Osnovni_podaci!L24=5,Osnovni_podaci!G24=0,MID(Osnovni_podaci!D20,3,1)="e",MID(Osnovni_podaci!D20,8,1)="d"),VLOOKUP( T_ApifImport[[#This Row],[ld]], T_Aop[], 4, 0),A1)</f>
        <v>58</v>
      </c>
      <c r="D5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7" t="s">
        <v>771</v>
      </c>
    </row>
    <row r="60" spans="2:16" x14ac:dyDescent="0.2">
      <c r="B60" s="44">
        <f>IF(AND([0]!Godina=2024,MID(Osnovni_podaci!D20,3,1)="e",Osnovni_podaci!L24=5,Osnovni_podaci!G24=0,MID(Osnovni_podaci!D20,3,1)="e",MID(Osnovni_podaci!D20,8,1)="d"),VLOOKUP( T_ApifImport[[#This Row],[Bilans]], T_Bilansi[], 4, 0),A1)</f>
        <v>25</v>
      </c>
      <c r="C60" s="226">
        <f>IF(AND([0]!Godina=2024,MID(Osnovni_podaci!D20,3,1)="e",Osnovni_podaci!L24=5,Osnovni_podaci!G24=0,MID(Osnovni_podaci!D20,3,1)="e",MID(Osnovni_podaci!D20,8,1)="d"),VLOOKUP( T_ApifImport[[#This Row],[ld]], T_Aop[], 4, 0),A1)</f>
        <v>59</v>
      </c>
      <c r="D6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7" t="s">
        <v>771</v>
      </c>
    </row>
    <row r="61" spans="2:16" x14ac:dyDescent="0.2">
      <c r="B61" s="44">
        <f>IF(AND([0]!Godina=2024,MID(Osnovni_podaci!D20,3,1)="e",Osnovni_podaci!L24=5,Osnovni_podaci!G24=0,MID(Osnovni_podaci!D20,3,1)="e",MID(Osnovni_podaci!D20,8,1)="d"),VLOOKUP( T_ApifImport[[#This Row],[Bilans]], T_Bilansi[], 4, 0),A1)</f>
        <v>25</v>
      </c>
      <c r="C61" s="226">
        <f>IF(AND([0]!Godina=2024,MID(Osnovni_podaci!D20,3,1)="e",Osnovni_podaci!L24=5,Osnovni_podaci!G24=0,MID(Osnovni_podaci!D20,3,1)="e",MID(Osnovni_podaci!D20,8,1)="d"),VLOOKUP( T_ApifImport[[#This Row],[ld]], T_Aop[], 4, 0),A1)</f>
        <v>60</v>
      </c>
      <c r="D6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7" t="s">
        <v>771</v>
      </c>
    </row>
    <row r="62" spans="2:16" x14ac:dyDescent="0.2">
      <c r="B62" s="44">
        <f>IF(AND([0]!Godina=2024,MID(Osnovni_podaci!D20,3,1)="e",Osnovni_podaci!L24=5,Osnovni_podaci!G24=0,MID(Osnovni_podaci!D20,3,1)="e",MID(Osnovni_podaci!D20,8,1)="d"),VLOOKUP( T_ApifImport[[#This Row],[Bilans]], T_Bilansi[], 4, 0),A1)</f>
        <v>25</v>
      </c>
      <c r="C62" s="226">
        <f>IF(AND([0]!Godina=2024,MID(Osnovni_podaci!D20,3,1)="e",Osnovni_podaci!L24=5,Osnovni_podaci!G24=0,MID(Osnovni_podaci!D20,3,1)="e",MID(Osnovni_podaci!D20,8,1)="d"),VLOOKUP( T_ApifImport[[#This Row],[ld]], T_Aop[], 4, 0),A1)</f>
        <v>61</v>
      </c>
      <c r="D6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2814195</v>
      </c>
      <c r="F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2814195</v>
      </c>
      <c r="H6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3927221</v>
      </c>
      <c r="I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7" t="s">
        <v>771</v>
      </c>
    </row>
    <row r="63" spans="2:16" x14ac:dyDescent="0.2">
      <c r="B63" s="44">
        <f>IF(AND([0]!Godina=2024,MID(Osnovni_podaci!D20,3,1)="e",Osnovni_podaci!L24=5,Osnovni_podaci!G24=0,MID(Osnovni_podaci!D20,3,1)="e",MID(Osnovni_podaci!D20,8,1)="d"),VLOOKUP( T_ApifImport[[#This Row],[Bilans]], T_Bilansi[], 4, 0),A1)</f>
        <v>25</v>
      </c>
      <c r="C63" s="226">
        <f>IF(AND([0]!Godina=2024,MID(Osnovni_podaci!D20,3,1)="e",Osnovni_podaci!L24=5,Osnovni_podaci!G24=0,MID(Osnovni_podaci!D20,3,1)="e",MID(Osnovni_podaci!D20,8,1)="d"),VLOOKUP( T_ApifImport[[#This Row],[ld]], T_Aop[], 4, 0),A1)</f>
        <v>62</v>
      </c>
      <c r="D6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7" t="s">
        <v>771</v>
      </c>
    </row>
    <row r="64" spans="2:16" x14ac:dyDescent="0.2">
      <c r="B64" s="44">
        <f>IF(AND([0]!Godina=2024,MID(Osnovni_podaci!D20,3,1)="e",Osnovni_podaci!L24=5,Osnovni_podaci!G24=0,MID(Osnovni_podaci!D20,3,1)="e",MID(Osnovni_podaci!D20,8,1)="d"),VLOOKUP( T_ApifImport[[#This Row],[Bilans]], T_Bilansi[], 4, 0),A1)</f>
        <v>25</v>
      </c>
      <c r="C64" s="226">
        <f>IF(AND([0]!Godina=2024,MID(Osnovni_podaci!D20,3,1)="e",Osnovni_podaci!L24=5,Osnovni_podaci!G24=0,MID(Osnovni_podaci!D20,3,1)="e",MID(Osnovni_podaci!D20,8,1)="d"),VLOOKUP( T_ApifImport[[#This Row],[ld]], T_Aop[], 4, 0),A1)</f>
        <v>63</v>
      </c>
      <c r="D6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2814195</v>
      </c>
      <c r="F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2814195</v>
      </c>
      <c r="H6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3927221</v>
      </c>
      <c r="I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7" t="s">
        <v>771</v>
      </c>
    </row>
    <row r="65" spans="2:16" x14ac:dyDescent="0.2">
      <c r="B65" s="44">
        <f>IF(AND([0]!Godina=2024,MID(Osnovni_podaci!D20,3,1)="e",Osnovni_podaci!L24=5,Osnovni_podaci!G24=0,MID(Osnovni_podaci!D20,3,1)="e",MID(Osnovni_podaci!D20,8,1)="d"),VLOOKUP( T_ApifImport[[#This Row],[Bilans]], T_Bilansi[], 4, 0),A1)</f>
        <v>25</v>
      </c>
      <c r="C65" s="226">
        <f>IF(AND([0]!Godina=2024,MID(Osnovni_podaci!D20,3,1)="e",Osnovni_podaci!L24=5,Osnovni_podaci!G24=0,MID(Osnovni_podaci!D20,3,1)="e",MID(Osnovni_podaci!D20,8,1)="d"),VLOOKUP( T_ApifImport[[#This Row],[ld]], T_Aop[], 4, 0),A1)</f>
        <v>64</v>
      </c>
      <c r="D6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70</v>
      </c>
      <c r="F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70</v>
      </c>
      <c r="H6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7" t="s">
        <v>771</v>
      </c>
    </row>
    <row r="66" spans="2:16" x14ac:dyDescent="0.2">
      <c r="B66" s="44">
        <f>IF(AND([0]!Godina=2024,MID(Osnovni_podaci!D20,3,1)="e",Osnovni_podaci!L24=5,Osnovni_podaci!G24=0,MID(Osnovni_podaci!D20,3,1)="e",MID(Osnovni_podaci!D20,8,1)="d"),VLOOKUP( T_ApifImport[[#This Row],[Bilans]], T_Bilansi[], 4, 0),A1)</f>
        <v>25</v>
      </c>
      <c r="C66" s="226">
        <f>IF(AND([0]!Godina=2024,MID(Osnovni_podaci!D20,3,1)="e",Osnovni_podaci!L24=5,Osnovni_podaci!G24=0,MID(Osnovni_podaci!D20,3,1)="e",MID(Osnovni_podaci!D20,8,1)="d"),VLOOKUP( T_ApifImport[[#This Row],[ld]], T_Aop[], 4, 0),A1)</f>
        <v>65</v>
      </c>
      <c r="D6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399205</v>
      </c>
      <c r="F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399205</v>
      </c>
      <c r="H6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441605</v>
      </c>
      <c r="I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7" t="s">
        <v>771</v>
      </c>
    </row>
    <row r="67" spans="2:16" x14ac:dyDescent="0.2">
      <c r="B67" s="44">
        <f>IF(AND([0]!Godina=2024,MID(Osnovni_podaci!D20,3,1)="e",Osnovni_podaci!L24=5,Osnovni_podaci!G24=0,MID(Osnovni_podaci!D20,3,1)="e",MID(Osnovni_podaci!D20,8,1)="d"),VLOOKUP( T_ApifImport[[#This Row],[Bilans]], T_Bilansi[], 4, 0),A1)</f>
        <v>25</v>
      </c>
      <c r="C67" s="228">
        <f>IF(AND([0]!Godina=2024,MID(Osnovni_podaci!D20,3,1)="e",Osnovni_podaci!L24=5,Osnovni_podaci!G24=0,MID(Osnovni_podaci!D20,3,1)="e",MID(Osnovni_podaci!D20,8,1)="d"),VLOOKUP( T_ApifImport[[#This Row],[ld]], T_Aop[], 4, 0),A1)</f>
        <v>66</v>
      </c>
      <c r="D6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410562729</v>
      </c>
      <c r="F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251597977</v>
      </c>
      <c r="G6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158964752</v>
      </c>
      <c r="H6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160027015</v>
      </c>
      <c r="I6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29" t="s">
        <v>771</v>
      </c>
    </row>
    <row r="68" spans="2:16" x14ac:dyDescent="0.2">
      <c r="B68" s="502">
        <f>IF(AND([0]!Godina=2024,MID(Osnovni_podaci!D20,3,1)="e",Osnovni_podaci!L24=5,Osnovni_podaci!G24=0,MID(Osnovni_podaci!D20,3,1)="e",MID(Osnovni_podaci!D20,8,1)="d"),VLOOKUP( T_ApifImport[[#This Row],[Bilans]], T_Bilansi[], 4, 0),A1)</f>
        <v>25</v>
      </c>
      <c r="C68" s="228">
        <f>IF(AND([0]!Godina=2024,MID(Osnovni_podaci!D20,3,1)="e",Osnovni_podaci!L24=5,Osnovni_podaci!G24=0,MID(Osnovni_podaci!D20,3,1)="e",MID(Osnovni_podaci!D20,8,1)="d"),VLOOKUP( T_ApifImport[[#This Row],[ld]], T_Aop[], 4, 0),A1)</f>
        <v>67</v>
      </c>
      <c r="D6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44319271</v>
      </c>
      <c r="F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44319271</v>
      </c>
      <c r="H6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44393234</v>
      </c>
      <c r="I6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29" t="s">
        <v>771</v>
      </c>
    </row>
    <row r="69" spans="2:16" x14ac:dyDescent="0.2">
      <c r="B69" s="44">
        <f>IF(AND([0]!Godina=2024,MID(Osnovni_podaci!D20,3,1)="e",Osnovni_podaci!L24=5,Osnovni_podaci!G24=0,MID(Osnovni_podaci!D20,3,1)="e",MID(Osnovni_podaci!D20,8,1)="d"),VLOOKUP( T_ApifImport[[#This Row],[Bilans]], T_Bilansi[], 4, 0),A1)</f>
        <v>26</v>
      </c>
      <c r="C69" s="226">
        <f>IF(AND([0]!Godina=2024,MID(Osnovni_podaci!D20,3,1)="e",Osnovni_podaci!L24=5,Osnovni_podaci!G24=0,MID(Osnovni_podaci!D20,3,1)="e",MID(Osnovni_podaci!D20,8,1)="d"),VLOOKUP( T_ApifImport[[#This Row],[ld]], T_Aop[], 4, 0),A1)</f>
        <v>101</v>
      </c>
      <c r="D6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100908661</v>
      </c>
      <c r="F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99284866</v>
      </c>
      <c r="G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7" t="s">
        <v>770</v>
      </c>
    </row>
    <row r="70" spans="2:16" x14ac:dyDescent="0.2">
      <c r="B70" s="44">
        <f>IF(AND([0]!Godina=2024,MID(Osnovni_podaci!D20,3,1)="e",Osnovni_podaci!L24=5,Osnovni_podaci!G24=0,MID(Osnovni_podaci!D20,3,1)="e",MID(Osnovni_podaci!D20,8,1)="d"),VLOOKUP( T_ApifImport[[#This Row],[Bilans]], T_Bilansi[], 4, 0),A1)</f>
        <v>26</v>
      </c>
      <c r="C70" s="226">
        <f>IF(AND([0]!Godina=2024,MID(Osnovni_podaci!D20,3,1)="e",Osnovni_podaci!L24=5,Osnovni_podaci!G24=0,MID(Osnovni_podaci!D20,3,1)="e",MID(Osnovni_podaci!D20,8,1)="d"),VLOOKUP( T_ApifImport[[#This Row],[ld]], T_Aop[], 4, 0),A1)</f>
        <v>102</v>
      </c>
      <c r="D7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7" t="s">
        <v>770</v>
      </c>
    </row>
    <row r="71" spans="2:16" x14ac:dyDescent="0.2">
      <c r="B71" s="44">
        <f>IF(AND([0]!Godina=2024,MID(Osnovni_podaci!D20,3,1)="e",Osnovni_podaci!L24=5,Osnovni_podaci!G24=0,MID(Osnovni_podaci!D20,3,1)="e",MID(Osnovni_podaci!D20,8,1)="d"),VLOOKUP( T_ApifImport[[#This Row],[Bilans]], T_Bilansi[], 4, 0),A1)</f>
        <v>26</v>
      </c>
      <c r="C71" s="226">
        <f>IF(AND([0]!Godina=2024,MID(Osnovni_podaci!D20,3,1)="e",Osnovni_podaci!L24=5,Osnovni_podaci!G24=0,MID(Osnovni_podaci!D20,3,1)="e",MID(Osnovni_podaci!D20,8,1)="d"),VLOOKUP( T_ApifImport[[#This Row],[ld]], T_Aop[], 4, 0),A1)</f>
        <v>103</v>
      </c>
      <c r="D7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7" t="s">
        <v>770</v>
      </c>
    </row>
    <row r="72" spans="2:16" x14ac:dyDescent="0.2">
      <c r="B72" s="44">
        <f>IF(AND([0]!Godina=2024,MID(Osnovni_podaci!D20,3,1)="e",Osnovni_podaci!L24=5,Osnovni_podaci!G24=0,MID(Osnovni_podaci!D20,3,1)="e",MID(Osnovni_podaci!D20,8,1)="d"),VLOOKUP( T_ApifImport[[#This Row],[Bilans]], T_Bilansi[], 4, 0),A1)</f>
        <v>26</v>
      </c>
      <c r="C72" s="226">
        <f>IF(AND([0]!Godina=2024,MID(Osnovni_podaci!D20,3,1)="e",Osnovni_podaci!L24=5,Osnovni_podaci!G24=0,MID(Osnovni_podaci!D20,3,1)="e",MID(Osnovni_podaci!D20,8,1)="d"),VLOOKUP( T_ApifImport[[#This Row],[ld]], T_Aop[], 4, 0),A1)</f>
        <v>104</v>
      </c>
      <c r="D7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7" t="s">
        <v>770</v>
      </c>
    </row>
    <row r="73" spans="2:16" x14ac:dyDescent="0.2">
      <c r="B73" s="44">
        <f>IF(AND([0]!Godina=2024,MID(Osnovni_podaci!D20,3,1)="e",Osnovni_podaci!L24=5,Osnovni_podaci!G24=0,MID(Osnovni_podaci!D20,3,1)="e",MID(Osnovni_podaci!D20,8,1)="d"),VLOOKUP( T_ApifImport[[#This Row],[Bilans]], T_Bilansi[], 4, 0),A1)</f>
        <v>26</v>
      </c>
      <c r="C73" s="226">
        <f>IF(AND([0]!Godina=2024,MID(Osnovni_podaci!D20,3,1)="e",Osnovni_podaci!L24=5,Osnovni_podaci!G24=0,MID(Osnovni_podaci!D20,3,1)="e",MID(Osnovni_podaci!D20,8,1)="d"),VLOOKUP( T_ApifImport[[#This Row],[ld]], T_Aop[], 4, 0),A1)</f>
        <v>105</v>
      </c>
      <c r="D7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7" t="s">
        <v>770</v>
      </c>
    </row>
    <row r="74" spans="2:16" x14ac:dyDescent="0.2">
      <c r="B74" s="44">
        <f>IF(AND([0]!Godina=2024,MID(Osnovni_podaci!D20,3,1)="e",Osnovni_podaci!L24=5,Osnovni_podaci!G24=0,MID(Osnovni_podaci!D20,3,1)="e",MID(Osnovni_podaci!D20,8,1)="d"),VLOOKUP( T_ApifImport[[#This Row],[Bilans]], T_Bilansi[], 4, 0),A1)</f>
        <v>26</v>
      </c>
      <c r="C74" s="226">
        <f>IF(AND([0]!Godina=2024,MID(Osnovni_podaci!D20,3,1)="e",Osnovni_podaci!L24=5,Osnovni_podaci!G24=0,MID(Osnovni_podaci!D20,3,1)="e",MID(Osnovni_podaci!D20,8,1)="d"),VLOOKUP( T_ApifImport[[#This Row],[ld]], T_Aop[], 4, 0),A1)</f>
        <v>106</v>
      </c>
      <c r="D7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7" t="s">
        <v>770</v>
      </c>
    </row>
    <row r="75" spans="2:16" x14ac:dyDescent="0.2">
      <c r="B75" s="44">
        <f>IF(AND([0]!Godina=2024,MID(Osnovni_podaci!D20,3,1)="e",Osnovni_podaci!L24=5,Osnovni_podaci!G24=0,MID(Osnovni_podaci!D20,3,1)="e",MID(Osnovni_podaci!D20,8,1)="d"),VLOOKUP( T_ApifImport[[#This Row],[Bilans]], T_Bilansi[], 4, 0),A1)</f>
        <v>26</v>
      </c>
      <c r="C75" s="226">
        <f>IF(AND([0]!Godina=2024,MID(Osnovni_podaci!D20,3,1)="e",Osnovni_podaci!L24=5,Osnovni_podaci!G24=0,MID(Osnovni_podaci!D20,3,1)="e",MID(Osnovni_podaci!D20,8,1)="d"),VLOOKUP( T_ApifImport[[#This Row],[ld]], T_Aop[], 4, 0),A1)</f>
        <v>107</v>
      </c>
      <c r="D7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7" t="s">
        <v>770</v>
      </c>
    </row>
    <row r="76" spans="2:16" x14ac:dyDescent="0.2">
      <c r="B76" s="44">
        <f>IF(AND([0]!Godina=2024,MID(Osnovni_podaci!D20,3,1)="e",Osnovni_podaci!L24=5,Osnovni_podaci!G24=0,MID(Osnovni_podaci!D20,3,1)="e",MID(Osnovni_podaci!D20,8,1)="d"),VLOOKUP( T_ApifImport[[#This Row],[Bilans]], T_Bilansi[], 4, 0),A1)</f>
        <v>26</v>
      </c>
      <c r="C76" s="226">
        <f>IF(AND([0]!Godina=2024,MID(Osnovni_podaci!D20,3,1)="e",Osnovni_podaci!L24=5,Osnovni_podaci!G24=0,MID(Osnovni_podaci!D20,3,1)="e",MID(Osnovni_podaci!D20,8,1)="d"),VLOOKUP( T_ApifImport[[#This Row],[ld]], T_Aop[], 4, 0),A1)</f>
        <v>108</v>
      </c>
      <c r="D7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7" t="s">
        <v>770</v>
      </c>
    </row>
    <row r="77" spans="2:16" x14ac:dyDescent="0.2">
      <c r="B77" s="44">
        <f>IF(AND([0]!Godina=2024,MID(Osnovni_podaci!D20,3,1)="e",Osnovni_podaci!L24=5,Osnovni_podaci!G24=0,MID(Osnovni_podaci!D20,3,1)="e",MID(Osnovni_podaci!D20,8,1)="d"),VLOOKUP( T_ApifImport[[#This Row],[Bilans]], T_Bilansi[], 4, 0),A1)</f>
        <v>26</v>
      </c>
      <c r="C77" s="226">
        <f>IF(AND([0]!Godina=2024,MID(Osnovni_podaci!D20,3,1)="e",Osnovni_podaci!L24=5,Osnovni_podaci!G24=0,MID(Osnovni_podaci!D20,3,1)="e",MID(Osnovni_podaci!D20,8,1)="d"),VLOOKUP( T_ApifImport[[#This Row],[ld]], T_Aop[], 4, 0),A1)</f>
        <v>109</v>
      </c>
      <c r="D7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7" t="s">
        <v>770</v>
      </c>
    </row>
    <row r="78" spans="2:16" x14ac:dyDescent="0.2">
      <c r="B78" s="44">
        <f>IF(AND([0]!Godina=2024,MID(Osnovni_podaci!D20,3,1)="e",Osnovni_podaci!L24=5,Osnovni_podaci!G24=0,MID(Osnovni_podaci!D20,3,1)="e",MID(Osnovni_podaci!D20,8,1)="d"),VLOOKUP( T_ApifImport[[#This Row],[Bilans]], T_Bilansi[], 4, 0),A1)</f>
        <v>26</v>
      </c>
      <c r="C78" s="226">
        <f>IF(AND([0]!Godina=2024,MID(Osnovni_podaci!D20,3,1)="e",Osnovni_podaci!L24=5,Osnovni_podaci!G24=0,MID(Osnovni_podaci!D20,3,1)="e",MID(Osnovni_podaci!D20,8,1)="d"),VLOOKUP( T_ApifImport[[#This Row],[ld]], T_Aop[], 4, 0),A1)</f>
        <v>110</v>
      </c>
      <c r="D7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7" t="s">
        <v>770</v>
      </c>
    </row>
    <row r="79" spans="2:16" x14ac:dyDescent="0.2">
      <c r="B79" s="44">
        <f>IF(AND([0]!Godina=2024,MID(Osnovni_podaci!D20,3,1)="e",Osnovni_podaci!L24=5,Osnovni_podaci!G24=0,MID(Osnovni_podaci!D20,3,1)="e",MID(Osnovni_podaci!D20,8,1)="d"),VLOOKUP( T_ApifImport[[#This Row],[Bilans]], T_Bilansi[], 4, 0),A1)</f>
        <v>26</v>
      </c>
      <c r="C79" s="226">
        <f>IF(AND([0]!Godina=2024,MID(Osnovni_podaci!D20,3,1)="e",Osnovni_podaci!L24=5,Osnovni_podaci!G24=0,MID(Osnovni_podaci!D20,3,1)="e",MID(Osnovni_podaci!D20,8,1)="d"),VLOOKUP( T_ApifImport[[#This Row],[ld]], T_Aop[], 4, 0),A1)</f>
        <v>111</v>
      </c>
      <c r="D7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7" t="s">
        <v>770</v>
      </c>
    </row>
    <row r="80" spans="2:16" x14ac:dyDescent="0.2">
      <c r="B80" s="44">
        <f>IF(AND([0]!Godina=2024,MID(Osnovni_podaci!D20,3,1)="e",Osnovni_podaci!L24=5,Osnovni_podaci!G24=0,MID(Osnovni_podaci!D20,3,1)="e",MID(Osnovni_podaci!D20,8,1)="d"),VLOOKUP( T_ApifImport[[#This Row],[Bilans]], T_Bilansi[], 4, 0),A1)</f>
        <v>26</v>
      </c>
      <c r="C80" s="226">
        <f>IF(AND([0]!Godina=2024,MID(Osnovni_podaci!D20,3,1)="e",Osnovni_podaci!L24=5,Osnovni_podaci!G24=0,MID(Osnovni_podaci!D20,3,1)="e",MID(Osnovni_podaci!D20,8,1)="d"),VLOOKUP( T_ApifImport[[#This Row],[ld]], T_Aop[], 4, 0),A1)</f>
        <v>112</v>
      </c>
      <c r="D8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7" t="s">
        <v>770</v>
      </c>
    </row>
    <row r="81" spans="2:16" x14ac:dyDescent="0.2">
      <c r="B81" s="44">
        <f>IF(AND([0]!Godina=2024,MID(Osnovni_podaci!D20,3,1)="e",Osnovni_podaci!L24=5,Osnovni_podaci!G24=0,MID(Osnovni_podaci!D20,3,1)="e",MID(Osnovni_podaci!D20,8,1)="d"),VLOOKUP( T_ApifImport[[#This Row],[Bilans]], T_Bilansi[], 4, 0),A1)</f>
        <v>26</v>
      </c>
      <c r="C81" s="226">
        <f>IF(AND([0]!Godina=2024,MID(Osnovni_podaci!D20,3,1)="e",Osnovni_podaci!L24=5,Osnovni_podaci!G24=0,MID(Osnovni_podaci!D20,3,1)="e",MID(Osnovni_podaci!D20,8,1)="d"),VLOOKUP( T_ApifImport[[#This Row],[ld]], T_Aop[], 4, 0),A1)</f>
        <v>113</v>
      </c>
      <c r="D8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7" t="s">
        <v>770</v>
      </c>
    </row>
    <row r="82" spans="2:16" x14ac:dyDescent="0.2">
      <c r="B82" s="44">
        <f>IF(AND([0]!Godina=2024,MID(Osnovni_podaci!D20,3,1)="e",Osnovni_podaci!L24=5,Osnovni_podaci!G24=0,MID(Osnovni_podaci!D20,3,1)="e",MID(Osnovni_podaci!D20,8,1)="d"),VLOOKUP( T_ApifImport[[#This Row],[Bilans]], T_Bilansi[], 4, 0),A1)</f>
        <v>26</v>
      </c>
      <c r="C82" s="226">
        <f>IF(AND([0]!Godina=2024,MID(Osnovni_podaci!D20,3,1)="e",Osnovni_podaci!L24=5,Osnovni_podaci!G24=0,MID(Osnovni_podaci!D20,3,1)="e",MID(Osnovni_podaci!D20,8,1)="d"),VLOOKUP( T_ApifImport[[#This Row],[ld]], T_Aop[], 4, 0),A1)</f>
        <v>114</v>
      </c>
      <c r="D8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7" t="s">
        <v>770</v>
      </c>
    </row>
    <row r="83" spans="2:16" x14ac:dyDescent="0.2">
      <c r="B83" s="44">
        <f>IF(AND([0]!Godina=2024,MID(Osnovni_podaci!D20,3,1)="e",Osnovni_podaci!L24=5,Osnovni_podaci!G24=0,MID(Osnovni_podaci!D20,3,1)="e",MID(Osnovni_podaci!D20,8,1)="d"),VLOOKUP( T_ApifImport[[#This Row],[Bilans]], T_Bilansi[], 4, 0),A1)</f>
        <v>26</v>
      </c>
      <c r="C83" s="226">
        <f>IF(AND([0]!Godina=2024,MID(Osnovni_podaci!D20,3,1)="e",Osnovni_podaci!L24=5,Osnovni_podaci!G24=0,MID(Osnovni_podaci!D20,3,1)="e",MID(Osnovni_podaci!D20,8,1)="d"),VLOOKUP( T_ApifImport[[#This Row],[ld]], T_Aop[], 4, 0),A1)</f>
        <v>115</v>
      </c>
      <c r="D8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14929655</v>
      </c>
      <c r="F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13457635</v>
      </c>
      <c r="G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7" t="s">
        <v>770</v>
      </c>
    </row>
    <row r="84" spans="2:16" x14ac:dyDescent="0.2">
      <c r="B84" s="44">
        <f>IF(AND([0]!Godina=2024,MID(Osnovni_podaci!D20,3,1)="e",Osnovni_podaci!L24=5,Osnovni_podaci!G24=0,MID(Osnovni_podaci!D20,3,1)="e",MID(Osnovni_podaci!D20,8,1)="d"),VLOOKUP( T_ApifImport[[#This Row],[Bilans]], T_Bilansi[], 4, 0),A1)</f>
        <v>26</v>
      </c>
      <c r="C84" s="226">
        <f>IF(AND([0]!Godina=2024,MID(Osnovni_podaci!D20,3,1)="e",Osnovni_podaci!L24=5,Osnovni_podaci!G24=0,MID(Osnovni_podaci!D20,3,1)="e",MID(Osnovni_podaci!D20,8,1)="d"),VLOOKUP( T_ApifImport[[#This Row],[ld]], T_Aop[], 4, 0),A1)</f>
        <v>116</v>
      </c>
      <c r="D8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944602</v>
      </c>
      <c r="F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643267</v>
      </c>
      <c r="G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7" t="s">
        <v>770</v>
      </c>
    </row>
    <row r="85" spans="2:16" x14ac:dyDescent="0.2">
      <c r="B85" s="44">
        <f>IF(AND([0]!Godina=2024,MID(Osnovni_podaci!D20,3,1)="e",Osnovni_podaci!L24=5,Osnovni_podaci!G24=0,MID(Osnovni_podaci!D20,3,1)="e",MID(Osnovni_podaci!D20,8,1)="d"),VLOOKUP( T_ApifImport[[#This Row],[Bilans]], T_Bilansi[], 4, 0),A1)</f>
        <v>26</v>
      </c>
      <c r="C85" s="226">
        <f>IF(AND([0]!Godina=2024,MID(Osnovni_podaci!D20,3,1)="e",Osnovni_podaci!L24=5,Osnovni_podaci!G24=0,MID(Osnovni_podaci!D20,3,1)="e",MID(Osnovni_podaci!D20,8,1)="d"),VLOOKUP( T_ApifImport[[#This Row],[ld]], T_Aop[], 4, 0),A1)</f>
        <v>117</v>
      </c>
      <c r="D8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7" t="s">
        <v>770</v>
      </c>
    </row>
    <row r="86" spans="2:16" x14ac:dyDescent="0.2">
      <c r="B86" s="44">
        <f>IF(AND([0]!Godina=2024,MID(Osnovni_podaci!D20,3,1)="e",Osnovni_podaci!L24=5,Osnovni_podaci!G24=0,MID(Osnovni_podaci!D20,3,1)="e",MID(Osnovni_podaci!D20,8,1)="d"),VLOOKUP( T_ApifImport[[#This Row],[Bilans]], T_Bilansi[], 4, 0),A1)</f>
        <v>26</v>
      </c>
      <c r="C86" s="226">
        <f>IF(AND([0]!Godina=2024,MID(Osnovni_podaci!D20,3,1)="e",Osnovni_podaci!L24=5,Osnovni_podaci!G24=0,MID(Osnovni_podaci!D20,3,1)="e",MID(Osnovni_podaci!D20,8,1)="d"),VLOOKUP( T_ApifImport[[#This Row],[ld]], T_Aop[], 4, 0),A1)</f>
        <v>118</v>
      </c>
      <c r="D8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F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G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7" t="s">
        <v>770</v>
      </c>
    </row>
    <row r="87" spans="2:16" x14ac:dyDescent="0.2">
      <c r="B87" s="44">
        <f>IF(AND([0]!Godina=2024,MID(Osnovni_podaci!D20,3,1)="e",Osnovni_podaci!L24=5,Osnovni_podaci!G24=0,MID(Osnovni_podaci!D20,3,1)="e",MID(Osnovni_podaci!D20,8,1)="d"),VLOOKUP( T_ApifImport[[#This Row],[Bilans]], T_Bilansi[], 4, 0),A1)</f>
        <v>26</v>
      </c>
      <c r="C87" s="226">
        <f>IF(AND([0]!Godina=2024,MID(Osnovni_podaci!D20,3,1)="e",Osnovni_podaci!L24=5,Osnovni_podaci!G24=0,MID(Osnovni_podaci!D20,3,1)="e",MID(Osnovni_podaci!D20,8,1)="d"),VLOOKUP( T_ApifImport[[#This Row],[ld]], T_Aop[], 4, 0),A1)</f>
        <v>119</v>
      </c>
      <c r="D8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7" t="s">
        <v>770</v>
      </c>
    </row>
    <row r="88" spans="2:16" x14ac:dyDescent="0.2">
      <c r="B88" s="44">
        <f>IF(AND([0]!Godina=2024,MID(Osnovni_podaci!D20,3,1)="e",Osnovni_podaci!L24=5,Osnovni_podaci!G24=0,MID(Osnovni_podaci!D20,3,1)="e",MID(Osnovni_podaci!D20,8,1)="d"),VLOOKUP( T_ApifImport[[#This Row],[Bilans]], T_Bilansi[], 4, 0),A1)</f>
        <v>26</v>
      </c>
      <c r="C88" s="226">
        <f>IF(AND([0]!Godina=2024,MID(Osnovni_podaci!D20,3,1)="e",Osnovni_podaci!L24=5,Osnovni_podaci!G24=0,MID(Osnovni_podaci!D20,3,1)="e",MID(Osnovni_podaci!D20,8,1)="d"),VLOOKUP( T_ApifImport[[#This Row],[ld]], T_Aop[], 4, 0),A1)</f>
        <v>120</v>
      </c>
      <c r="D8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7" t="s">
        <v>770</v>
      </c>
    </row>
    <row r="89" spans="2:16" x14ac:dyDescent="0.2">
      <c r="B89" s="44">
        <f>IF(AND([0]!Godina=2024,MID(Osnovni_podaci!D20,3,1)="e",Osnovni_podaci!L24=5,Osnovni_podaci!G24=0,MID(Osnovni_podaci!D20,3,1)="e",MID(Osnovni_podaci!D20,8,1)="d"),VLOOKUP( T_ApifImport[[#This Row],[Bilans]], T_Bilansi[], 4, 0),A1)</f>
        <v>26</v>
      </c>
      <c r="C89" s="226">
        <f>IF(AND([0]!Godina=2024,MID(Osnovni_podaci!D20,3,1)="e",Osnovni_podaci!L24=5,Osnovni_podaci!G24=0,MID(Osnovni_podaci!D20,3,1)="e",MID(Osnovni_podaci!D20,8,1)="d"),VLOOKUP( T_ApifImport[[#This Row],[ld]], T_Aop[], 4, 0),A1)</f>
        <v>121</v>
      </c>
      <c r="D8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7" t="s">
        <v>770</v>
      </c>
    </row>
    <row r="90" spans="2:16" x14ac:dyDescent="0.2">
      <c r="B90" s="44">
        <f>IF(AND([0]!Godina=2024,MID(Osnovni_podaci!D20,3,1)="e",Osnovni_podaci!L24=5,Osnovni_podaci!G24=0,MID(Osnovni_podaci!D20,3,1)="e",MID(Osnovni_podaci!D20,8,1)="d"),VLOOKUP( T_ApifImport[[#This Row],[Bilans]], T_Bilansi[], 4, 0),A1)</f>
        <v>26</v>
      </c>
      <c r="C90" s="226">
        <f>IF(AND([0]!Godina=2024,MID(Osnovni_podaci!D20,3,1)="e",Osnovni_podaci!L24=5,Osnovni_podaci!G24=0,MID(Osnovni_podaci!D20,3,1)="e",MID(Osnovni_podaci!D20,8,1)="d"),VLOOKUP( T_ApifImport[[#This Row],[ld]], T_Aop[], 4, 0),A1)</f>
        <v>122</v>
      </c>
      <c r="D9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7" t="s">
        <v>770</v>
      </c>
    </row>
    <row r="91" spans="2:16" x14ac:dyDescent="0.2">
      <c r="B91" s="44">
        <f>IF(AND([0]!Godina=2024,MID(Osnovni_podaci!D20,3,1)="e",Osnovni_podaci!L24=5,Osnovni_podaci!G24=0,MID(Osnovni_podaci!D20,3,1)="e",MID(Osnovni_podaci!D20,8,1)="d"),VLOOKUP( T_ApifImport[[#This Row],[Bilans]], T_Bilansi[], 4, 0),A1)</f>
        <v>26</v>
      </c>
      <c r="C91" s="226">
        <f>IF(AND([0]!Godina=2024,MID(Osnovni_podaci!D20,3,1)="e",Osnovni_podaci!L24=5,Osnovni_podaci!G24=0,MID(Osnovni_podaci!D20,3,1)="e",MID(Osnovni_podaci!D20,8,1)="d"),VLOOKUP( T_ApifImport[[#This Row],[ld]], T_Aop[], 4, 0),A1)</f>
        <v>123</v>
      </c>
      <c r="D9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7" t="s">
        <v>770</v>
      </c>
    </row>
    <row r="92" spans="2:16" x14ac:dyDescent="0.2">
      <c r="B92" s="44">
        <f>IF(AND([0]!Godina=2024,MID(Osnovni_podaci!D20,3,1)="e",Osnovni_podaci!L24=5,Osnovni_podaci!G24=0,MID(Osnovni_podaci!D20,3,1)="e",MID(Osnovni_podaci!D20,8,1)="d"),VLOOKUP( T_ApifImport[[#This Row],[Bilans]], T_Bilansi[], 4, 0),A1)</f>
        <v>26</v>
      </c>
      <c r="C92" s="226">
        <f>IF(AND([0]!Godina=2024,MID(Osnovni_podaci!D20,3,1)="e",Osnovni_podaci!L24=5,Osnovni_podaci!G24=0,MID(Osnovni_podaci!D20,3,1)="e",MID(Osnovni_podaci!D20,8,1)="d"),VLOOKUP( T_ApifImport[[#This Row],[ld]], T_Aop[], 4, 0),A1)</f>
        <v>124</v>
      </c>
      <c r="D9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42656018</v>
      </c>
      <c r="F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42504243</v>
      </c>
      <c r="G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7" t="s">
        <v>770</v>
      </c>
    </row>
    <row r="93" spans="2:16" x14ac:dyDescent="0.2">
      <c r="B93" s="44">
        <f>IF(AND([0]!Godina=2024,MID(Osnovni_podaci!D20,3,1)="e",Osnovni_podaci!L24=5,Osnovni_podaci!G24=0,MID(Osnovni_podaci!D20,3,1)="e",MID(Osnovni_podaci!D20,8,1)="d"),VLOOKUP( T_ApifImport[[#This Row],[Bilans]], T_Bilansi[], 4, 0),A1)</f>
        <v>26</v>
      </c>
      <c r="C93" s="226">
        <f>IF(AND([0]!Godina=2024,MID(Osnovni_podaci!D20,3,1)="e",Osnovni_podaci!L24=5,Osnovni_podaci!G24=0,MID(Osnovni_podaci!D20,3,1)="e",MID(Osnovni_podaci!D20,8,1)="d"),VLOOKUP( T_ApifImport[[#This Row],[ld]], T_Aop[], 4, 0),A1)</f>
        <v>125</v>
      </c>
      <c r="D9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42139485</v>
      </c>
      <c r="F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36976978</v>
      </c>
      <c r="G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7" t="s">
        <v>770</v>
      </c>
    </row>
    <row r="94" spans="2:16" x14ac:dyDescent="0.2">
      <c r="B94" s="44">
        <f>IF(AND([0]!Godina=2024,MID(Osnovni_podaci!D20,3,1)="e",Osnovni_podaci!L24=5,Osnovni_podaci!G24=0,MID(Osnovni_podaci!D20,3,1)="e",MID(Osnovni_podaci!D20,8,1)="d"),VLOOKUP( T_ApifImport[[#This Row],[Bilans]], T_Bilansi[], 4, 0),A1)</f>
        <v>26</v>
      </c>
      <c r="C94" s="226">
        <f>IF(AND([0]!Godina=2024,MID(Osnovni_podaci!D20,3,1)="e",Osnovni_podaci!L24=5,Osnovni_podaci!G24=0,MID(Osnovni_podaci!D20,3,1)="e",MID(Osnovni_podaci!D20,8,1)="d"),VLOOKUP( T_ApifImport[[#This Row],[ld]], T_Aop[], 4, 0),A1)</f>
        <v>126</v>
      </c>
      <c r="D9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516533</v>
      </c>
      <c r="F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5527265</v>
      </c>
      <c r="G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7" t="s">
        <v>770</v>
      </c>
    </row>
    <row r="95" spans="2:16" x14ac:dyDescent="0.2">
      <c r="B95" s="44">
        <f>IF(AND([0]!Godina=2024,MID(Osnovni_podaci!D20,3,1)="e",Osnovni_podaci!L24=5,Osnovni_podaci!G24=0,MID(Osnovni_podaci!D20,3,1)="e",MID(Osnovni_podaci!D20,8,1)="d"),VLOOKUP( T_ApifImport[[#This Row],[Bilans]], T_Bilansi[], 4, 0),A1)</f>
        <v>26</v>
      </c>
      <c r="C95" s="226">
        <f>IF(AND([0]!Godina=2024,MID(Osnovni_podaci!D20,3,1)="e",Osnovni_podaci!L24=5,Osnovni_podaci!G24=0,MID(Osnovni_podaci!D20,3,1)="e",MID(Osnovni_podaci!D20,8,1)="d"),VLOOKUP( T_ApifImport[[#This Row],[ld]], T_Aop[], 4, 0),A1)</f>
        <v>127</v>
      </c>
      <c r="D9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7" t="s">
        <v>770</v>
      </c>
    </row>
    <row r="96" spans="2:16" x14ac:dyDescent="0.2">
      <c r="B96" s="44">
        <f>IF(AND([0]!Godina=2024,MID(Osnovni_podaci!D20,3,1)="e",Osnovni_podaci!L24=5,Osnovni_podaci!G24=0,MID(Osnovni_podaci!D20,3,1)="e",MID(Osnovni_podaci!D20,8,1)="d"),VLOOKUP( T_ApifImport[[#This Row],[Bilans]], T_Bilansi[], 4, 0),A1)</f>
        <v>26</v>
      </c>
      <c r="C96" s="226">
        <f>IF(AND([0]!Godina=2024,MID(Osnovni_podaci!D20,3,1)="e",Osnovni_podaci!L24=5,Osnovni_podaci!G24=0,MID(Osnovni_podaci!D20,3,1)="e",MID(Osnovni_podaci!D20,8,1)="d"),VLOOKUP( T_ApifImport[[#This Row],[ld]], T_Aop[], 4, 0),A1)</f>
        <v>128</v>
      </c>
      <c r="D9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7" t="s">
        <v>770</v>
      </c>
    </row>
    <row r="97" spans="2:16" x14ac:dyDescent="0.2">
      <c r="B97" s="44">
        <f>IF(AND([0]!Godina=2024,MID(Osnovni_podaci!D20,3,1)="e",Osnovni_podaci!L24=5,Osnovni_podaci!G24=0,MID(Osnovni_podaci!D20,3,1)="e",MID(Osnovni_podaci!D20,8,1)="d"),VLOOKUP( T_ApifImport[[#This Row],[Bilans]], T_Bilansi[], 4, 0),A1)</f>
        <v>26</v>
      </c>
      <c r="C97" s="226">
        <f>IF(AND([0]!Godina=2024,MID(Osnovni_podaci!D20,3,1)="e",Osnovni_podaci!L24=5,Osnovni_podaci!G24=0,MID(Osnovni_podaci!D20,3,1)="e",MID(Osnovni_podaci!D20,8,1)="d"),VLOOKUP( T_ApifImport[[#This Row],[ld]], T_Aop[], 4, 0),A1)</f>
        <v>129</v>
      </c>
      <c r="D9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7" t="s">
        <v>770</v>
      </c>
    </row>
    <row r="98" spans="2:16" x14ac:dyDescent="0.2">
      <c r="B98" s="44">
        <f>IF(AND([0]!Godina=2024,MID(Osnovni_podaci!D20,3,1)="e",Osnovni_podaci!L24=5,Osnovni_podaci!G24=0,MID(Osnovni_podaci!D20,3,1)="e",MID(Osnovni_podaci!D20,8,1)="d"),VLOOKUP( T_ApifImport[[#This Row],[Bilans]], T_Bilansi[], 4, 0),A1)</f>
        <v>26</v>
      </c>
      <c r="C98" s="226">
        <f>IF(AND([0]!Godina=2024,MID(Osnovni_podaci!D20,3,1)="e",Osnovni_podaci!L24=5,Osnovni_podaci!G24=0,MID(Osnovni_podaci!D20,3,1)="e",MID(Osnovni_podaci!D20,8,1)="d"),VLOOKUP( T_ApifImport[[#This Row],[ld]], T_Aop[], 4, 0),A1)</f>
        <v>130</v>
      </c>
      <c r="D9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7" t="s">
        <v>770</v>
      </c>
    </row>
    <row r="99" spans="2:16" x14ac:dyDescent="0.2">
      <c r="B99" s="44">
        <f>IF(AND([0]!Godina=2024,MID(Osnovni_podaci!D20,3,1)="e",Osnovni_podaci!L24=5,Osnovni_podaci!G24=0,MID(Osnovni_podaci!D20,3,1)="e",MID(Osnovni_podaci!D20,8,1)="d"),VLOOKUP( T_ApifImport[[#This Row],[Bilans]], T_Bilansi[], 4, 0),A1)</f>
        <v>26</v>
      </c>
      <c r="C99" s="226">
        <f>IF(AND([0]!Godina=2024,MID(Osnovni_podaci!D20,3,1)="e",Osnovni_podaci!L24=5,Osnovni_podaci!G24=0,MID(Osnovni_podaci!D20,3,1)="e",MID(Osnovni_podaci!D20,8,1)="d"),VLOOKUP( T_ApifImport[[#This Row],[ld]], T_Aop[], 4, 0),A1)</f>
        <v>131</v>
      </c>
      <c r="D9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7" t="s">
        <v>770</v>
      </c>
    </row>
    <row r="100" spans="2:16" x14ac:dyDescent="0.2">
      <c r="B100" s="44">
        <f>IF(AND([0]!Godina=2024,MID(Osnovni_podaci!D20,3,1)="e",Osnovni_podaci!L24=5,Osnovni_podaci!G24=0,MID(Osnovni_podaci!D20,3,1)="e",MID(Osnovni_podaci!D20,8,1)="d"),VLOOKUP( T_ApifImport[[#This Row],[Bilans]], T_Bilansi[], 4, 0),A1)</f>
        <v>26</v>
      </c>
      <c r="C100" s="226">
        <f>IF(AND([0]!Godina=2024,MID(Osnovni_podaci!D20,3,1)="e",Osnovni_podaci!L24=5,Osnovni_podaci!G24=0,MID(Osnovni_podaci!D20,3,1)="e",MID(Osnovni_podaci!D20,8,1)="d"),VLOOKUP( T_ApifImport[[#This Row],[ld]], T_Aop[], 4, 0),A1)</f>
        <v>132</v>
      </c>
      <c r="D10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42983430</v>
      </c>
      <c r="F1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40051926</v>
      </c>
      <c r="G1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7" t="s">
        <v>770</v>
      </c>
    </row>
    <row r="101" spans="2:16" x14ac:dyDescent="0.2">
      <c r="B101" s="44">
        <f>VLOOKUP( T_ApifImport[[#This Row],[Bilans]], T_Bilansi[], 4, 0)</f>
        <v>26</v>
      </c>
      <c r="C101" s="226">
        <f>IF(AND([0]!Godina=2024,MID(Osnovni_podaci!D20,3,1)="e",Osnovni_podaci!L24=5,Osnovni_podaci!G24=0,MID(Osnovni_podaci!D20,3,1)="e",MID(Osnovni_podaci!D20,8,1)="d"),VLOOKUP( T_ApifImport[[#This Row],[ld]], T_Aop[], 4, 0),A1)</f>
        <v>133</v>
      </c>
      <c r="D1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820424</v>
      </c>
      <c r="F1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980155</v>
      </c>
      <c r="G1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7" t="s">
        <v>770</v>
      </c>
    </row>
    <row r="102" spans="2:16" x14ac:dyDescent="0.2">
      <c r="B102" s="44">
        <f>VLOOKUP( T_ApifImport[[#This Row],[Bilans]], T_Bilansi[], 4, 0)</f>
        <v>26</v>
      </c>
      <c r="C102" s="226">
        <f>IF(AND([0]!Godina=2024,MID(Osnovni_podaci!D20,3,1)="e",Osnovni_podaci!L24=5,Osnovni_podaci!G24=0,MID(Osnovni_podaci!D20,3,1)="e",MID(Osnovni_podaci!D20,8,1)="d"),VLOOKUP( T_ApifImport[[#This Row],[ld]], T_Aop[], 4, 0),A1)</f>
        <v>134</v>
      </c>
      <c r="D1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7" t="s">
        <v>770</v>
      </c>
    </row>
    <row r="103" spans="2:16" x14ac:dyDescent="0.2">
      <c r="B103" s="44">
        <f>VLOOKUP( T_ApifImport[[#This Row],[Bilans]], T_Bilansi[], 4, 0)</f>
        <v>26</v>
      </c>
      <c r="C103" s="226">
        <f>IF(AND([0]!Godina=2024,MID(Osnovni_podaci!D20,3,1)="e",Osnovni_podaci!L24=5,Osnovni_podaci!G24=0,MID(Osnovni_podaci!D20,3,1)="e",MID(Osnovni_podaci!D20,8,1)="d"),VLOOKUP( T_ApifImport[[#This Row],[ld]], T_Aop[], 4, 0),A1)</f>
        <v>135</v>
      </c>
      <c r="D1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764584</v>
      </c>
      <c r="F1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924315</v>
      </c>
      <c r="G1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7" t="s">
        <v>770</v>
      </c>
    </row>
    <row r="104" spans="2:16" x14ac:dyDescent="0.2">
      <c r="B104" s="44">
        <f>VLOOKUP( T_ApifImport[[#This Row],[Bilans]], T_Bilansi[], 4, 0)</f>
        <v>26</v>
      </c>
      <c r="C104" s="226">
        <f>IF(AND([0]!Godina=2024,MID(Osnovni_podaci!D20,3,1)="e",Osnovni_podaci!L24=5,Osnovni_podaci!G24=0,MID(Osnovni_podaci!D20,3,1)="e",MID(Osnovni_podaci!D20,8,1)="d"),VLOOKUP( T_ApifImport[[#This Row],[ld]], T_Aop[], 4, 0),A1)</f>
        <v>136</v>
      </c>
      <c r="D1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F1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G1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7" t="s">
        <v>770</v>
      </c>
    </row>
    <row r="105" spans="2:16" x14ac:dyDescent="0.2">
      <c r="B105" s="44">
        <f>VLOOKUP( T_ApifImport[[#This Row],[Bilans]], T_Bilansi[], 4, 0)</f>
        <v>26</v>
      </c>
      <c r="C105" s="226">
        <f>IF(AND([0]!Godina=2024,MID(Osnovni_podaci!D20,3,1)="e",Osnovni_podaci!L24=5,Osnovni_podaci!G24=0,MID(Osnovni_podaci!D20,3,1)="e",MID(Osnovni_podaci!D20,8,1)="d"),VLOOKUP( T_ApifImport[[#This Row],[ld]], T_Aop[], 4, 0),A1)</f>
        <v>137</v>
      </c>
      <c r="D1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29054932</v>
      </c>
      <c r="F1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25796741</v>
      </c>
      <c r="G1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7" t="s">
        <v>770</v>
      </c>
    </row>
    <row r="106" spans="2:16" x14ac:dyDescent="0.2">
      <c r="B106" s="44">
        <f>VLOOKUP( T_ApifImport[[#This Row],[Bilans]], T_Bilansi[], 4, 0)</f>
        <v>26</v>
      </c>
      <c r="C106" s="226">
        <f>IF(AND([0]!Godina=2024,MID(Osnovni_podaci!D20,3,1)="e",Osnovni_podaci!L24=5,Osnovni_podaci!G24=0,MID(Osnovni_podaci!D20,3,1)="e",MID(Osnovni_podaci!D20,8,1)="d"),VLOOKUP( T_ApifImport[[#This Row],[ld]], T_Aop[], 4, 0),A1)</f>
        <v>138</v>
      </c>
      <c r="D1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13648497</v>
      </c>
      <c r="F1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G1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7" t="s">
        <v>770</v>
      </c>
    </row>
    <row r="107" spans="2:16" x14ac:dyDescent="0.2">
      <c r="B107" s="44">
        <f>VLOOKUP( T_ApifImport[[#This Row],[Bilans]], T_Bilansi[], 4, 0)</f>
        <v>26</v>
      </c>
      <c r="C107" s="226">
        <f>IF(AND([0]!Godina=2024,MID(Osnovni_podaci!D20,3,1)="e",Osnovni_podaci!L24=5,Osnovni_podaci!G24=0,MID(Osnovni_podaci!D20,3,1)="e",MID(Osnovni_podaci!D20,8,1)="d"),VLOOKUP( T_ApifImport[[#This Row],[ld]], T_Aop[], 4, 0),A1)</f>
        <v>139</v>
      </c>
      <c r="D1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7873892</v>
      </c>
      <c r="F1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7828416</v>
      </c>
      <c r="G1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7" t="s">
        <v>770</v>
      </c>
    </row>
    <row r="108" spans="2:16" x14ac:dyDescent="0.2">
      <c r="B108" s="44">
        <f>VLOOKUP( T_ApifImport[[#This Row],[Bilans]], T_Bilansi[], 4, 0)</f>
        <v>26</v>
      </c>
      <c r="C108" s="226">
        <f>IF(AND([0]!Godina=2024,MID(Osnovni_podaci!D20,3,1)="e",Osnovni_podaci!L24=5,Osnovni_podaci!G24=0,MID(Osnovni_podaci!D20,3,1)="e",MID(Osnovni_podaci!D20,8,1)="d"),VLOOKUP( T_ApifImport[[#This Row],[ld]], T_Aop[], 4, 0),A1)</f>
        <v>140</v>
      </c>
      <c r="D1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3603784</v>
      </c>
      <c r="F1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G1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7" t="s">
        <v>770</v>
      </c>
    </row>
    <row r="109" spans="2:16" x14ac:dyDescent="0.2">
      <c r="B109" s="44">
        <f>VLOOKUP( T_ApifImport[[#This Row],[Bilans]], T_Bilansi[], 4, 0)</f>
        <v>26</v>
      </c>
      <c r="C109" s="226">
        <f>IF(AND([0]!Godina=2024,MID(Osnovni_podaci!D20,3,1)="e",Osnovni_podaci!L24=5,Osnovni_podaci!G24=0,MID(Osnovni_podaci!D20,3,1)="e",MID(Osnovni_podaci!D20,8,1)="d"),VLOOKUP( T_ApifImport[[#This Row],[ld]], T_Aop[], 4, 0),A1)</f>
        <v>141</v>
      </c>
      <c r="D1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F1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G1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7" t="s">
        <v>770</v>
      </c>
    </row>
    <row r="110" spans="2:16" x14ac:dyDescent="0.2">
      <c r="B110" s="44">
        <f>VLOOKUP( T_ApifImport[[#This Row],[Bilans]], T_Bilansi[], 4, 0)</f>
        <v>26</v>
      </c>
      <c r="C110" s="226">
        <f>IF(AND([0]!Godina=2024,MID(Osnovni_podaci!D20,3,1)="e",Osnovni_podaci!L24=5,Osnovni_podaci!G24=0,MID(Osnovni_podaci!D20,3,1)="e",MID(Osnovni_podaci!D20,8,1)="d"),VLOOKUP( T_ApifImport[[#This Row],[ld]], T_Aop[], 4, 0),A1)</f>
        <v>142</v>
      </c>
      <c r="D1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147721</v>
      </c>
      <c r="F1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G1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7" t="s">
        <v>770</v>
      </c>
    </row>
    <row r="111" spans="2:16" x14ac:dyDescent="0.2">
      <c r="B111" s="44">
        <f>VLOOKUP( T_ApifImport[[#This Row],[Bilans]], T_Bilansi[], 4, 0)</f>
        <v>26</v>
      </c>
      <c r="C111" s="226">
        <f>IF(AND([0]!Godina=2024,MID(Osnovni_podaci!D20,3,1)="e",Osnovni_podaci!L24=5,Osnovni_podaci!G24=0,MID(Osnovni_podaci!D20,3,1)="e",MID(Osnovni_podaci!D20,8,1)="d"),VLOOKUP( T_ApifImport[[#This Row],[ld]], T_Aop[], 4, 0),A1)</f>
        <v>143</v>
      </c>
      <c r="D1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7" t="s">
        <v>770</v>
      </c>
    </row>
    <row r="112" spans="2:16" x14ac:dyDescent="0.2">
      <c r="B112" s="44">
        <f>VLOOKUP( T_ApifImport[[#This Row],[Bilans]], T_Bilansi[], 4, 0)</f>
        <v>26</v>
      </c>
      <c r="C112" s="226">
        <f>IF(AND([0]!Godina=2024,MID(Osnovni_podaci!D20,3,1)="e",Osnovni_podaci!L24=5,Osnovni_podaci!G24=0,MID(Osnovni_podaci!D20,3,1)="e",MID(Osnovni_podaci!D20,8,1)="d"),VLOOKUP( T_ApifImport[[#This Row],[ld]], T_Aop[], 4, 0),A1)</f>
        <v>144</v>
      </c>
      <c r="D1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F1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G1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7" t="s">
        <v>770</v>
      </c>
    </row>
    <row r="113" spans="2:16" x14ac:dyDescent="0.2">
      <c r="B113" s="44">
        <f>VLOOKUP( T_ApifImport[[#This Row],[Bilans]], T_Bilansi[], 4, 0)</f>
        <v>26</v>
      </c>
      <c r="C113" s="226">
        <f>IF(AND([0]!Godina=2024,MID(Osnovni_podaci!D20,3,1)="e",Osnovni_podaci!L24=5,Osnovni_podaci!G24=0,MID(Osnovni_podaci!D20,3,1)="e",MID(Osnovni_podaci!D20,8,1)="d"),VLOOKUP( T_ApifImport[[#This Row],[ld]], T_Aop[], 4, 0),A1)</f>
        <v>145</v>
      </c>
      <c r="D1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13108074</v>
      </c>
      <c r="F1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G1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7" t="s">
        <v>770</v>
      </c>
    </row>
    <row r="114" spans="2:16" x14ac:dyDescent="0.2">
      <c r="B114" s="44">
        <f>VLOOKUP( T_ApifImport[[#This Row],[Bilans]], T_Bilansi[], 4, 0)</f>
        <v>26</v>
      </c>
      <c r="C114" s="226">
        <f>IF(AND([0]!Godina=2024,MID(Osnovni_podaci!D20,3,1)="e",Osnovni_podaci!L24=5,Osnovni_podaci!G24=0,MID(Osnovni_podaci!D20,3,1)="e",MID(Osnovni_podaci!D20,8,1)="d"),VLOOKUP( T_ApifImport[[#This Row],[ld]], T_Aop[], 4, 0),A1)</f>
        <v>146</v>
      </c>
      <c r="D1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5408885</v>
      </c>
      <c r="F1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5408885</v>
      </c>
      <c r="G1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7" t="s">
        <v>770</v>
      </c>
    </row>
    <row r="115" spans="2:16" x14ac:dyDescent="0.2">
      <c r="B115" s="44">
        <f>VLOOKUP( T_ApifImport[[#This Row],[Bilans]], T_Bilansi[], 4, 0)</f>
        <v>26</v>
      </c>
      <c r="C115" s="226">
        <f>IF(AND([0]!Godina=2024,MID(Osnovni_podaci!D20,3,1)="e",Osnovni_podaci!L24=5,Osnovni_podaci!G24=0,MID(Osnovni_podaci!D20,3,1)="e",MID(Osnovni_podaci!D20,8,1)="d"),VLOOKUP( T_ApifImport[[#This Row],[ld]], T_Aop[], 4, 0),A1)</f>
        <v>147</v>
      </c>
      <c r="D1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9663776</v>
      </c>
      <c r="F1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15281338</v>
      </c>
      <c r="G1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7" t="s">
        <v>770</v>
      </c>
    </row>
    <row r="116" spans="2:16" x14ac:dyDescent="0.2">
      <c r="B116" s="44">
        <f>VLOOKUP( T_ApifImport[[#This Row],[Bilans]], T_Bilansi[], 4, 0)</f>
        <v>26</v>
      </c>
      <c r="C116" s="226">
        <f>IF(AND([0]!Godina=2024,MID(Osnovni_podaci!D20,3,1)="e",Osnovni_podaci!L24=5,Osnovni_podaci!G24=0,MID(Osnovni_podaci!D20,3,1)="e",MID(Osnovni_podaci!D20,8,1)="d"),VLOOKUP( T_ApifImport[[#This Row],[ld]], T_Aop[], 4, 0),A1)</f>
        <v>148</v>
      </c>
      <c r="D1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1816994</v>
      </c>
      <c r="F1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4439180</v>
      </c>
      <c r="G1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7" t="s">
        <v>770</v>
      </c>
    </row>
    <row r="117" spans="2:16" x14ac:dyDescent="0.2">
      <c r="B117" s="44">
        <f>VLOOKUP( T_ApifImport[[#This Row],[Bilans]], T_Bilansi[], 4, 0)</f>
        <v>26</v>
      </c>
      <c r="C117" s="226">
        <f>IF(AND([0]!Godina=2024,MID(Osnovni_podaci!D20,3,1)="e",Osnovni_podaci!L24=5,Osnovni_podaci!G24=0,MID(Osnovni_podaci!D20,3,1)="e",MID(Osnovni_podaci!D20,8,1)="d"),VLOOKUP( T_ApifImport[[#This Row],[ld]], T_Aop[], 4, 0),A1)</f>
        <v>149</v>
      </c>
      <c r="D1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352934</v>
      </c>
      <c r="F1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G1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7" t="s">
        <v>770</v>
      </c>
    </row>
    <row r="118" spans="2:16" x14ac:dyDescent="0.2">
      <c r="B118" s="44">
        <f>VLOOKUP( T_ApifImport[[#This Row],[Bilans]], T_Bilansi[], 4, 0)</f>
        <v>26</v>
      </c>
      <c r="C118" s="226">
        <f>IF(AND([0]!Godina=2024,MID(Osnovni_podaci!D20,3,1)="e",Osnovni_podaci!L24=5,Osnovni_podaci!G24=0,MID(Osnovni_podaci!D20,3,1)="e",MID(Osnovni_podaci!D20,8,1)="d"),VLOOKUP( T_ApifImport[[#This Row],[ld]], T_Aop[], 4, 0),A1)</f>
        <v>150</v>
      </c>
      <c r="D1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1454985</v>
      </c>
      <c r="F1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3420579</v>
      </c>
      <c r="G1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7" t="s">
        <v>770</v>
      </c>
    </row>
    <row r="119" spans="2:16" x14ac:dyDescent="0.2">
      <c r="B119" s="44">
        <f>VLOOKUP( T_ApifImport[[#This Row],[Bilans]], T_Bilansi[], 4, 0)</f>
        <v>26</v>
      </c>
      <c r="C119" s="226">
        <f>IF(AND([0]!Godina=2024,MID(Osnovni_podaci!D20,3,1)="e",Osnovni_podaci!L24=5,Osnovni_podaci!G24=0,MID(Osnovni_podaci!D20,3,1)="e",MID(Osnovni_podaci!D20,8,1)="d"),VLOOKUP( T_ApifImport[[#This Row],[ld]], T_Aop[], 4, 0),A1)</f>
        <v>151</v>
      </c>
      <c r="D1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9075</v>
      </c>
      <c r="F1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G1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7" t="s">
        <v>770</v>
      </c>
    </row>
    <row r="120" spans="2:16" x14ac:dyDescent="0.2">
      <c r="B120" s="44">
        <f>VLOOKUP( T_ApifImport[[#This Row],[Bilans]], T_Bilansi[], 4, 0)</f>
        <v>26</v>
      </c>
      <c r="C120" s="226">
        <f>IF(AND([0]!Godina=2024,MID(Osnovni_podaci!D20,3,1)="e",Osnovni_podaci!L24=5,Osnovni_podaci!G24=0,MID(Osnovni_podaci!D20,3,1)="e",MID(Osnovni_podaci!D20,8,1)="d"),VLOOKUP( T_ApifImport[[#This Row],[ld]], T_Aop[], 4, 0),A1)</f>
        <v>152</v>
      </c>
      <c r="D1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7" t="s">
        <v>770</v>
      </c>
    </row>
    <row r="121" spans="2:16" x14ac:dyDescent="0.2">
      <c r="B121" s="44">
        <f>VLOOKUP( T_ApifImport[[#This Row],[Bilans]], T_Bilansi[], 4, 0)</f>
        <v>26</v>
      </c>
      <c r="C121" s="226">
        <f>IF(AND([0]!Godina=2024,MID(Osnovni_podaci!D20,3,1)="e",Osnovni_podaci!L24=5,Osnovni_podaci!G24=0,MID(Osnovni_podaci!D20,3,1)="e",MID(Osnovni_podaci!D20,8,1)="d"),VLOOKUP( T_ApifImport[[#This Row],[ld]], T_Aop[], 4, 0),A1)</f>
        <v>153</v>
      </c>
      <c r="D1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7" t="s">
        <v>770</v>
      </c>
    </row>
    <row r="122" spans="2:16" x14ac:dyDescent="0.2">
      <c r="B122" s="44">
        <f>VLOOKUP( T_ApifImport[[#This Row],[Bilans]], T_Bilansi[], 4, 0)</f>
        <v>26</v>
      </c>
      <c r="C122" s="226">
        <f>IF(AND([0]!Godina=2024,MID(Osnovni_podaci!D20,3,1)="e",Osnovni_podaci!L24=5,Osnovni_podaci!G24=0,MID(Osnovni_podaci!D20,3,1)="e",MID(Osnovni_podaci!D20,8,1)="d"),VLOOKUP( T_ApifImport[[#This Row],[ld]], T_Aop[], 4, 0),A1)</f>
        <v>154</v>
      </c>
      <c r="D1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7" t="s">
        <v>770</v>
      </c>
    </row>
    <row r="123" spans="2:16" x14ac:dyDescent="0.2">
      <c r="B123" s="44">
        <f>VLOOKUP( T_ApifImport[[#This Row],[Bilans]], T_Bilansi[], 4, 0)</f>
        <v>26</v>
      </c>
      <c r="C123" s="226">
        <f>IF(AND([0]!Godina=2024,MID(Osnovni_podaci!D20,3,1)="e",Osnovni_podaci!L24=5,Osnovni_podaci!G24=0,MID(Osnovni_podaci!D20,3,1)="e",MID(Osnovni_podaci!D20,8,1)="d"),VLOOKUP( T_ApifImport[[#This Row],[ld]], T_Aop[], 4, 0),A1)</f>
        <v>155</v>
      </c>
      <c r="D1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5048490</v>
      </c>
      <c r="F1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7504110</v>
      </c>
      <c r="G1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7" t="s">
        <v>770</v>
      </c>
    </row>
    <row r="124" spans="2:16" x14ac:dyDescent="0.2">
      <c r="B124" s="44">
        <f>VLOOKUP( T_ApifImport[[#This Row],[Bilans]], T_Bilansi[], 4, 0)</f>
        <v>26</v>
      </c>
      <c r="C124" s="226">
        <f>IF(AND([0]!Godina=2024,MID(Osnovni_podaci!D20,3,1)="e",Osnovni_podaci!L24=5,Osnovni_podaci!G24=0,MID(Osnovni_podaci!D20,3,1)="e",MID(Osnovni_podaci!D20,8,1)="d"),VLOOKUP( T_ApifImport[[#This Row],[ld]], T_Aop[], 4, 0),A1)</f>
        <v>156</v>
      </c>
      <c r="D1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423060</v>
      </c>
      <c r="F1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G1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7" t="s">
        <v>770</v>
      </c>
    </row>
    <row r="125" spans="2:16" x14ac:dyDescent="0.2">
      <c r="B125" s="44">
        <f>VLOOKUP( T_ApifImport[[#This Row],[Bilans]], T_Bilansi[], 4, 0)</f>
        <v>26</v>
      </c>
      <c r="C125" s="226">
        <f>IF(AND([0]!Godina=2024,MID(Osnovni_podaci!D20,3,1)="e",Osnovni_podaci!L24=5,Osnovni_podaci!G24=0,MID(Osnovni_podaci!D20,3,1)="e",MID(Osnovni_podaci!D20,8,1)="d"),VLOOKUP( T_ApifImport[[#This Row],[ld]], T_Aop[], 4, 0),A1)</f>
        <v>157</v>
      </c>
      <c r="D1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2730039</v>
      </c>
      <c r="F1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5761274</v>
      </c>
      <c r="G1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7" t="s">
        <v>770</v>
      </c>
    </row>
    <row r="126" spans="2:16" x14ac:dyDescent="0.2">
      <c r="B126" s="44">
        <f>VLOOKUP( T_ApifImport[[#This Row],[Bilans]], T_Bilansi[], 4, 0)</f>
        <v>26</v>
      </c>
      <c r="C126" s="226">
        <f>IF(AND([0]!Godina=2024,MID(Osnovni_podaci!D20,3,1)="e",Osnovni_podaci!L24=5,Osnovni_podaci!G24=0,MID(Osnovni_podaci!D20,3,1)="e",MID(Osnovni_podaci!D20,8,1)="d"),VLOOKUP( T_ApifImport[[#This Row],[ld]], T_Aop[], 4, 0),A1)</f>
        <v>158</v>
      </c>
      <c r="D1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1783197</v>
      </c>
      <c r="F1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1263597</v>
      </c>
      <c r="G1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7" t="s">
        <v>770</v>
      </c>
    </row>
    <row r="127" spans="2:16" x14ac:dyDescent="0.2">
      <c r="B127" s="44">
        <f>VLOOKUP( T_ApifImport[[#This Row],[Bilans]], T_Bilansi[], 4, 0)</f>
        <v>26</v>
      </c>
      <c r="C127" s="226">
        <f>IF(AND([0]!Godina=2024,MID(Osnovni_podaci!D20,3,1)="e",Osnovni_podaci!L24=5,Osnovni_podaci!G24=0,MID(Osnovni_podaci!D20,3,1)="e",MID(Osnovni_podaci!D20,8,1)="d"),VLOOKUP( T_ApifImport[[#This Row],[ld]], T_Aop[], 4, 0),A1)</f>
        <v>159</v>
      </c>
      <c r="D1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112194</v>
      </c>
      <c r="F1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G1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7" t="s">
        <v>770</v>
      </c>
    </row>
    <row r="128" spans="2:16" x14ac:dyDescent="0.2">
      <c r="B128" s="44">
        <f>VLOOKUP( T_ApifImport[[#This Row],[Bilans]], T_Bilansi[], 4, 0)</f>
        <v>26</v>
      </c>
      <c r="C128" s="226">
        <f>IF(AND([0]!Godina=2024,MID(Osnovni_podaci!D20,3,1)="e",Osnovni_podaci!L24=5,Osnovni_podaci!G24=0,MID(Osnovni_podaci!D20,3,1)="e",MID(Osnovni_podaci!D20,8,1)="d"),VLOOKUP( T_ApifImport[[#This Row],[ld]], T_Aop[], 4, 0),A1)</f>
        <v>160</v>
      </c>
      <c r="D1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7" t="s">
        <v>770</v>
      </c>
    </row>
    <row r="129" spans="2:16" x14ac:dyDescent="0.2">
      <c r="B129" s="44">
        <f>VLOOKUP( T_ApifImport[[#This Row],[Bilans]], T_Bilansi[], 4, 0)</f>
        <v>26</v>
      </c>
      <c r="C129" s="226">
        <f>IF(AND([0]!Godina=2024,MID(Osnovni_podaci!D20,3,1)="e",Osnovni_podaci!L24=5,Osnovni_podaci!G24=0,MID(Osnovni_podaci!D20,3,1)="e",MID(Osnovni_podaci!D20,8,1)="d"),VLOOKUP( T_ApifImport[[#This Row],[ld]], T_Aop[], 4, 0),A1)</f>
        <v>161</v>
      </c>
      <c r="D1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425605</v>
      </c>
      <c r="F1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424973</v>
      </c>
      <c r="G1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7" t="s">
        <v>770</v>
      </c>
    </row>
    <row r="130" spans="2:16" x14ac:dyDescent="0.2">
      <c r="B130" s="44">
        <f>VLOOKUP( T_ApifImport[[#This Row],[Bilans]], T_Bilansi[], 4, 0)</f>
        <v>26</v>
      </c>
      <c r="C130" s="226">
        <f>IF(AND([0]!Godina=2024,MID(Osnovni_podaci!D20,3,1)="e",Osnovni_podaci!L24=5,Osnovni_podaci!G24=0,MID(Osnovni_podaci!D20,3,1)="e",MID(Osnovni_podaci!D20,8,1)="d"),VLOOKUP( T_ApifImport[[#This Row],[ld]], T_Aop[], 4, 0),A1)</f>
        <v>162</v>
      </c>
      <c r="D1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1204425</v>
      </c>
      <c r="F1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1117144</v>
      </c>
      <c r="G1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7" t="s">
        <v>770</v>
      </c>
    </row>
    <row r="131" spans="2:16" x14ac:dyDescent="0.2">
      <c r="B131" s="44">
        <f>VLOOKUP( T_ApifImport[[#This Row],[Bilans]], T_Bilansi[], 4, 0)</f>
        <v>26</v>
      </c>
      <c r="C131" s="226">
        <f>IF(AND([0]!Godina=2024,MID(Osnovni_podaci!D20,3,1)="e",Osnovni_podaci!L24=5,Osnovni_podaci!G24=0,MID(Osnovni_podaci!D20,3,1)="e",MID(Osnovni_podaci!D20,8,1)="d"),VLOOKUP( T_ApifImport[[#This Row],[ld]], T_Aop[], 4, 0),A1)</f>
        <v>163</v>
      </c>
      <c r="D1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93373</v>
      </c>
      <c r="F1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100567</v>
      </c>
      <c r="G1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7" t="s">
        <v>770</v>
      </c>
    </row>
    <row r="132" spans="2:16" x14ac:dyDescent="0.2">
      <c r="B132" s="44">
        <f>VLOOKUP( T_ApifImport[[#This Row],[Bilans]], T_Bilansi[], 4, 0)</f>
        <v>26</v>
      </c>
      <c r="C132" s="226">
        <f>IF(AND([0]!Godina=2024,MID(Osnovni_podaci!D20,3,1)="e",Osnovni_podaci!L24=5,Osnovni_podaci!G24=0,MID(Osnovni_podaci!D20,3,1)="e",MID(Osnovni_podaci!D20,8,1)="d"),VLOOKUP( T_ApifImport[[#This Row],[ld]], T_Aop[], 4, 0),A1)</f>
        <v>164</v>
      </c>
      <c r="D1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92235</v>
      </c>
      <c r="F1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291817</v>
      </c>
      <c r="G1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7" t="s">
        <v>770</v>
      </c>
    </row>
    <row r="133" spans="2:16" x14ac:dyDescent="0.2">
      <c r="B133" s="44">
        <f>VLOOKUP( T_ApifImport[[#This Row],[Bilans]], T_Bilansi[], 4, 0)</f>
        <v>26</v>
      </c>
      <c r="C133" s="226">
        <f>IF(AND([0]!Godina=2024,MID(Osnovni_podaci!D20,3,1)="e",Osnovni_podaci!L24=5,Osnovni_podaci!G24=0,MID(Osnovni_podaci!D20,3,1)="e",MID(Osnovni_podaci!D20,8,1)="d"),VLOOKUP( T_ApifImport[[#This Row],[ld]], T_Aop[], 4, 0),A1)</f>
        <v>165</v>
      </c>
      <c r="D1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24412</v>
      </c>
      <c r="F1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90090</v>
      </c>
      <c r="G1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7" t="s">
        <v>770</v>
      </c>
    </row>
    <row r="134" spans="2:16" x14ac:dyDescent="0.2">
      <c r="B134" s="44">
        <f>VLOOKUP( T_ApifImport[[#This Row],[Bilans]], T_Bilansi[], 4, 0)</f>
        <v>26</v>
      </c>
      <c r="C134" s="226">
        <f>IF(AND([0]!Godina=2024,MID(Osnovni_podaci!D20,3,1)="e",Osnovni_podaci!L24=5,Osnovni_podaci!G24=0,MID(Osnovni_podaci!D20,3,1)="e",MID(Osnovni_podaci!D20,8,1)="d"),VLOOKUP( T_ApifImport[[#This Row],[ld]], T_Aop[], 4, 0),A1)</f>
        <v>166</v>
      </c>
      <c r="D1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300116</v>
      </c>
      <c r="G1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7" t="s">
        <v>770</v>
      </c>
    </row>
    <row r="135" spans="2:16" x14ac:dyDescent="0.2">
      <c r="B135" s="44">
        <f>VLOOKUP( T_ApifImport[[#This Row],[Bilans]], T_Bilansi[], 4, 0)</f>
        <v>26</v>
      </c>
      <c r="C135" s="226">
        <f>IF(AND([0]!Godina=2024,MID(Osnovni_podaci!D20,3,1)="e",Osnovni_podaci!L24=5,Osnovni_podaci!G24=0,MID(Osnovni_podaci!D20,3,1)="e",MID(Osnovni_podaci!D20,8,1)="d"),VLOOKUP( T_ApifImport[[#This Row],[ld]], T_Aop[], 4, 0),A1)</f>
        <v>167</v>
      </c>
      <c r="D1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958242</v>
      </c>
      <c r="F1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1013341</v>
      </c>
      <c r="G1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7" t="s">
        <v>770</v>
      </c>
    </row>
    <row r="136" spans="2:16" x14ac:dyDescent="0.2">
      <c r="B136" s="44">
        <f>VLOOKUP( T_ApifImport[[#This Row],[Bilans]], T_Bilansi[], 4, 0)</f>
        <v>26</v>
      </c>
      <c r="C136" s="226">
        <f>IF(AND([0]!Godina=2024,MID(Osnovni_podaci!D20,3,1)="e",Osnovni_podaci!L24=5,Osnovni_podaci!G24=0,MID(Osnovni_podaci!D20,3,1)="e",MID(Osnovni_podaci!D20,8,1)="d"),VLOOKUP( T_ApifImport[[#This Row],[ld]], T_Aop[], 4, 0),A1)</f>
        <v>168</v>
      </c>
      <c r="D1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7" t="s">
        <v>770</v>
      </c>
    </row>
    <row r="137" spans="2:16" x14ac:dyDescent="0.2">
      <c r="B137" s="44">
        <f>VLOOKUP( T_ApifImport[[#This Row],[Bilans]], T_Bilansi[], 4, 0)</f>
        <v>26</v>
      </c>
      <c r="C137" s="226">
        <f>IF(AND([0]!Godina=2024,MID(Osnovni_podaci!D20,3,1)="e",Osnovni_podaci!L24=5,Osnovni_podaci!G24=0,MID(Osnovni_podaci!D20,3,1)="e",MID(Osnovni_podaci!D20,8,1)="d"),VLOOKUP( T_ApifImport[[#This Row],[ld]], T_Aop[], 4, 0),A1)</f>
        <v>169</v>
      </c>
      <c r="D1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158964752</v>
      </c>
      <c r="F1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160027015</v>
      </c>
      <c r="G1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7" t="s">
        <v>770</v>
      </c>
    </row>
    <row r="138" spans="2:16" x14ac:dyDescent="0.2">
      <c r="B138" s="502">
        <f>VLOOKUP( T_ApifImport[[#This Row],[Bilans]], T_Bilansi[], 4, 0)</f>
        <v>26</v>
      </c>
      <c r="C138" s="259">
        <f>IF(AND([0]!Godina=2024,MID(Osnovni_podaci!D20,3,1)="e",Osnovni_podaci!L24=5,Osnovni_podaci!G24=0,MID(Osnovni_podaci!D20,3,1)="e",MID(Osnovni_podaci!D20,8,1)="d"),VLOOKUP( T_ApifImport[[#This Row],[ld]], T_Aop[], 4, 0),A1)</f>
        <v>170</v>
      </c>
      <c r="D1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44319271</v>
      </c>
      <c r="F138" s="26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44393234</v>
      </c>
      <c r="G138" s="26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8">
        <v>138</v>
      </c>
      <c r="P138" s="260" t="s">
        <v>770</v>
      </c>
    </row>
    <row r="139" spans="2:16" x14ac:dyDescent="0.2">
      <c r="B139" s="44">
        <f>VLOOKUP( T_ApifImport[[#This Row],[Bilans]], T_Bilansi[], 4, 0)</f>
        <v>27</v>
      </c>
      <c r="C139" s="226">
        <f>IF(AND([0]!Godina=2024,MID(Osnovni_podaci!D20,3,1)="e",Osnovni_podaci!L24=5,Osnovni_podaci!G24=0,MID(Osnovni_podaci!D20,3,1)="e",MID(Osnovni_podaci!D20,8,1)="d"),VLOOKUP( T_ApifImport[[#This Row],[ld]], T_Aop[], 4, 0),A1)</f>
        <v>201</v>
      </c>
      <c r="D1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29597361</v>
      </c>
      <c r="F1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31841221</v>
      </c>
      <c r="G1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7" t="s">
        <v>255</v>
      </c>
    </row>
    <row r="140" spans="2:16" x14ac:dyDescent="0.2">
      <c r="B140" s="44">
        <f>VLOOKUP( T_ApifImport[[#This Row],[Bilans]], T_Bilansi[], 4, 0)</f>
        <v>27</v>
      </c>
      <c r="C140" s="226">
        <f>IF(AND([0]!Godina=2024,MID(Osnovni_podaci!D20,3,1)="e",Osnovni_podaci!L24=5,Osnovni_podaci!G24=0,MID(Osnovni_podaci!D20,3,1)="e",MID(Osnovni_podaci!D20,8,1)="d"),VLOOKUP( T_ApifImport[[#This Row],[ld]], T_Aop[], 4, 0),A1)</f>
        <v>202</v>
      </c>
      <c r="D1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12233</v>
      </c>
      <c r="F1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32073</v>
      </c>
      <c r="G1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7" t="s">
        <v>255</v>
      </c>
    </row>
    <row r="141" spans="2:16" x14ac:dyDescent="0.2">
      <c r="B141" s="44">
        <f>VLOOKUP( T_ApifImport[[#This Row],[Bilans]], T_Bilansi[], 4, 0)</f>
        <v>27</v>
      </c>
      <c r="C141" s="226">
        <f>IF(AND([0]!Godina=2024,MID(Osnovni_podaci!D20,3,1)="e",Osnovni_podaci!L24=5,Osnovni_podaci!G24=0,MID(Osnovni_podaci!D20,3,1)="e",MID(Osnovni_podaci!D20,8,1)="d"),VLOOKUP( T_ApifImport[[#This Row],[ld]], T_Aop[], 4, 0),A1)</f>
        <v>203</v>
      </c>
      <c r="D1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7" t="s">
        <v>255</v>
      </c>
    </row>
    <row r="142" spans="2:16" x14ac:dyDescent="0.2">
      <c r="B142" s="44">
        <f>VLOOKUP( T_ApifImport[[#This Row],[Bilans]], T_Bilansi[], 4, 0)</f>
        <v>27</v>
      </c>
      <c r="C142" s="226">
        <f>IF(AND([0]!Godina=2024,MID(Osnovni_podaci!D20,3,1)="e",Osnovni_podaci!L24=5,Osnovni_podaci!G24=0,MID(Osnovni_podaci!D20,3,1)="e",MID(Osnovni_podaci!D20,8,1)="d"),VLOOKUP( T_ApifImport[[#This Row],[ld]], T_Aop[], 4, 0),A1)</f>
        <v>204</v>
      </c>
      <c r="D1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12233</v>
      </c>
      <c r="F1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32073</v>
      </c>
      <c r="G1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7" t="s">
        <v>255</v>
      </c>
    </row>
    <row r="143" spans="2:16" x14ac:dyDescent="0.2">
      <c r="B143" s="44">
        <f>VLOOKUP( T_ApifImport[[#This Row],[Bilans]], T_Bilansi[], 4, 0)</f>
        <v>27</v>
      </c>
      <c r="C143" s="226">
        <f>IF(AND([0]!Godina=2024,MID(Osnovni_podaci!D20,3,1)="e",Osnovni_podaci!L24=5,Osnovni_podaci!G24=0,MID(Osnovni_podaci!D20,3,1)="e",MID(Osnovni_podaci!D20,8,1)="d"),VLOOKUP( T_ApifImport[[#This Row],[ld]], T_Aop[], 4, 0),A1)</f>
        <v>205</v>
      </c>
      <c r="D1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7" t="s">
        <v>255</v>
      </c>
    </row>
    <row r="144" spans="2:16" x14ac:dyDescent="0.2">
      <c r="B144" s="44">
        <f>VLOOKUP( T_ApifImport[[#This Row],[Bilans]], T_Bilansi[], 4, 0)</f>
        <v>27</v>
      </c>
      <c r="C144" s="226">
        <f>IF(AND([0]!Godina=2024,MID(Osnovni_podaci!D20,3,1)="e",Osnovni_podaci!L24=5,Osnovni_podaci!G24=0,MID(Osnovni_podaci!D20,3,1)="e",MID(Osnovni_podaci!D20,8,1)="d"),VLOOKUP( T_ApifImport[[#This Row],[ld]], T_Aop[], 4, 0),A1)</f>
        <v>206</v>
      </c>
      <c r="D1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3142249</v>
      </c>
      <c r="F1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5666765</v>
      </c>
      <c r="G1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7" t="s">
        <v>255</v>
      </c>
    </row>
    <row r="145" spans="2:16" x14ac:dyDescent="0.2">
      <c r="B145" s="44">
        <f>VLOOKUP( T_ApifImport[[#This Row],[Bilans]], T_Bilansi[], 4, 0)</f>
        <v>27</v>
      </c>
      <c r="C145" s="226">
        <f>IF(AND([0]!Godina=2024,MID(Osnovni_podaci!D20,3,1)="e",Osnovni_podaci!L24=5,Osnovni_podaci!G24=0,MID(Osnovni_podaci!D20,3,1)="e",MID(Osnovni_podaci!D20,8,1)="d"),VLOOKUP( T_ApifImport[[#This Row],[ld]], T_Aop[], 4, 0),A1)</f>
        <v>207</v>
      </c>
      <c r="D1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3142249</v>
      </c>
      <c r="F1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5666765</v>
      </c>
      <c r="G1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7" t="s">
        <v>255</v>
      </c>
    </row>
    <row r="146" spans="2:16" x14ac:dyDescent="0.2">
      <c r="B146" s="44">
        <f>VLOOKUP( T_ApifImport[[#This Row],[Bilans]], T_Bilansi[], 4, 0)</f>
        <v>27</v>
      </c>
      <c r="C146" s="226">
        <f>IF(AND([0]!Godina=2024,MID(Osnovni_podaci!D20,3,1)="e",Osnovni_podaci!L24=5,Osnovni_podaci!G24=0,MID(Osnovni_podaci!D20,3,1)="e",MID(Osnovni_podaci!D20,8,1)="d"),VLOOKUP( T_ApifImport[[#This Row],[ld]], T_Aop[], 4, 0),A1)</f>
        <v>208</v>
      </c>
      <c r="D1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7" t="s">
        <v>255</v>
      </c>
    </row>
    <row r="147" spans="2:16" x14ac:dyDescent="0.2">
      <c r="B147" s="44">
        <f>VLOOKUP( T_ApifImport[[#This Row],[Bilans]], T_Bilansi[], 4, 0)</f>
        <v>27</v>
      </c>
      <c r="C147" s="226">
        <f>IF(AND([0]!Godina=2024,MID(Osnovni_podaci!D20,3,1)="e",Osnovni_podaci!L24=5,Osnovni_podaci!G24=0,MID(Osnovni_podaci!D20,3,1)="e",MID(Osnovni_podaci!D20,8,1)="d"),VLOOKUP( T_ApifImport[[#This Row],[ld]], T_Aop[], 4, 0),A1)</f>
        <v>209</v>
      </c>
      <c r="D1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7" t="s">
        <v>255</v>
      </c>
    </row>
    <row r="148" spans="2:16" x14ac:dyDescent="0.2">
      <c r="B148" s="44">
        <f>VLOOKUP( T_ApifImport[[#This Row],[Bilans]], T_Bilansi[], 4, 0)</f>
        <v>27</v>
      </c>
      <c r="C148" s="226">
        <f>IF(AND([0]!Godina=2024,MID(Osnovni_podaci!D20,3,1)="e",Osnovni_podaci!L24=5,Osnovni_podaci!G24=0,MID(Osnovni_podaci!D20,3,1)="e",MID(Osnovni_podaci!D20,8,1)="d"),VLOOKUP( T_ApifImport[[#This Row],[ld]], T_Aop[], 4, 0),A1)</f>
        <v>210</v>
      </c>
      <c r="D1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24978663</v>
      </c>
      <c r="F1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24218843</v>
      </c>
      <c r="G1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7" t="s">
        <v>255</v>
      </c>
    </row>
    <row r="149" spans="2:16" x14ac:dyDescent="0.2">
      <c r="B149" s="44">
        <f>VLOOKUP( T_ApifImport[[#This Row],[Bilans]], T_Bilansi[], 4, 0)</f>
        <v>27</v>
      </c>
      <c r="C149" s="226">
        <f>IF(AND([0]!Godina=2024,MID(Osnovni_podaci!D20,3,1)="e",Osnovni_podaci!L24=5,Osnovni_podaci!G24=0,MID(Osnovni_podaci!D20,3,1)="e",MID(Osnovni_podaci!D20,8,1)="d"),VLOOKUP( T_ApifImport[[#This Row],[ld]], T_Aop[], 4, 0),A1)</f>
        <v>211</v>
      </c>
      <c r="D1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23844357</v>
      </c>
      <c r="F1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23333547</v>
      </c>
      <c r="G1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7" t="s">
        <v>255</v>
      </c>
    </row>
    <row r="150" spans="2:16" x14ac:dyDescent="0.2">
      <c r="B150" s="44">
        <f>VLOOKUP( T_ApifImport[[#This Row],[Bilans]], T_Bilansi[], 4, 0)</f>
        <v>27</v>
      </c>
      <c r="C150" s="226">
        <f>IF(AND([0]!Godina=2024,MID(Osnovni_podaci!D20,3,1)="e",Osnovni_podaci!L24=5,Osnovni_podaci!G24=0,MID(Osnovni_podaci!D20,3,1)="e",MID(Osnovni_podaci!D20,8,1)="d"),VLOOKUP( T_ApifImport[[#This Row],[ld]], T_Aop[], 4, 0),A1)</f>
        <v>212</v>
      </c>
      <c r="D1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1134306</v>
      </c>
      <c r="F1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885296</v>
      </c>
      <c r="G1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7" t="s">
        <v>255</v>
      </c>
    </row>
    <row r="151" spans="2:16" x14ac:dyDescent="0.2">
      <c r="B151" s="44">
        <f>VLOOKUP( T_ApifImport[[#This Row],[Bilans]], T_Bilansi[], 4, 0)</f>
        <v>27</v>
      </c>
      <c r="C151" s="226">
        <f>IF(AND([0]!Godina=2024,MID(Osnovni_podaci!D20,3,1)="e",Osnovni_podaci!L24=5,Osnovni_podaci!G24=0,MID(Osnovni_podaci!D20,3,1)="e",MID(Osnovni_podaci!D20,8,1)="d"),VLOOKUP( T_ApifImport[[#This Row],[ld]], T_Aop[], 4, 0),A1)</f>
        <v>213</v>
      </c>
      <c r="D1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7" t="s">
        <v>255</v>
      </c>
    </row>
    <row r="152" spans="2:16" x14ac:dyDescent="0.2">
      <c r="B152" s="44">
        <f>VLOOKUP( T_ApifImport[[#This Row],[Bilans]], T_Bilansi[], 4, 0)</f>
        <v>27</v>
      </c>
      <c r="C152" s="226">
        <f>IF(AND([0]!Godina=2024,MID(Osnovni_podaci!D20,3,1)="e",Osnovni_podaci!L24=5,Osnovni_podaci!G24=0,MID(Osnovni_podaci!D20,3,1)="e",MID(Osnovni_podaci!D20,8,1)="d"),VLOOKUP( T_ApifImport[[#This Row],[ld]], T_Aop[], 4, 0),A1)</f>
        <v>214</v>
      </c>
      <c r="D1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7" t="s">
        <v>255</v>
      </c>
    </row>
    <row r="153" spans="2:16" x14ac:dyDescent="0.2">
      <c r="B153" s="44">
        <f>VLOOKUP( T_ApifImport[[#This Row],[Bilans]], T_Bilansi[], 4, 0)</f>
        <v>27</v>
      </c>
      <c r="C153" s="226">
        <f>IF(AND([0]!Godina=2024,MID(Osnovni_podaci!D20,3,1)="e",Osnovni_podaci!L24=5,Osnovni_podaci!G24=0,MID(Osnovni_podaci!D20,3,1)="e",MID(Osnovni_podaci!D20,8,1)="d"),VLOOKUP( T_ApifImport[[#This Row],[ld]], T_Aop[], 4, 0),A1)</f>
        <v>215</v>
      </c>
      <c r="D1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7" t="s">
        <v>255</v>
      </c>
    </row>
    <row r="154" spans="2:16" x14ac:dyDescent="0.2">
      <c r="B154" s="44">
        <f>VLOOKUP( T_ApifImport[[#This Row],[Bilans]], T_Bilansi[], 4, 0)</f>
        <v>27</v>
      </c>
      <c r="C154" s="226">
        <f>IF(AND([0]!Godina=2024,MID(Osnovni_podaci!D20,3,1)="e",Osnovni_podaci!L24=5,Osnovni_podaci!G24=0,MID(Osnovni_podaci!D20,3,1)="e",MID(Osnovni_podaci!D20,8,1)="d"),VLOOKUP( T_ApifImport[[#This Row],[ld]], T_Aop[], 4, 0),A1)</f>
        <v>216</v>
      </c>
      <c r="D1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7" t="s">
        <v>255</v>
      </c>
    </row>
    <row r="155" spans="2:16" x14ac:dyDescent="0.2">
      <c r="B155" s="44">
        <f>VLOOKUP( T_ApifImport[[#This Row],[Bilans]], T_Bilansi[], 4, 0)</f>
        <v>27</v>
      </c>
      <c r="C155" s="226">
        <f>IF(AND([0]!Godina=2024,MID(Osnovni_podaci!D20,3,1)="e",Osnovni_podaci!L24=5,Osnovni_podaci!G24=0,MID(Osnovni_podaci!D20,3,1)="e",MID(Osnovni_podaci!D20,8,1)="d"),VLOOKUP( T_ApifImport[[#This Row],[ld]], T_Aop[], 4, 0),A1)</f>
        <v>217</v>
      </c>
      <c r="D1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7" t="s">
        <v>255</v>
      </c>
    </row>
    <row r="156" spans="2:16" x14ac:dyDescent="0.2">
      <c r="B156" s="44">
        <f>VLOOKUP( T_ApifImport[[#This Row],[Bilans]], T_Bilansi[], 4, 0)</f>
        <v>27</v>
      </c>
      <c r="C156" s="226">
        <f>IF(AND([0]!Godina=2024,MID(Osnovni_podaci!D20,3,1)="e",Osnovni_podaci!L24=5,Osnovni_podaci!G24=0,MID(Osnovni_podaci!D20,3,1)="e",MID(Osnovni_podaci!D20,8,1)="d"),VLOOKUP( T_ApifImport[[#This Row],[ld]], T_Aop[], 4, 0),A1)</f>
        <v>218</v>
      </c>
      <c r="D1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1464216</v>
      </c>
      <c r="F1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1923540</v>
      </c>
      <c r="G1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7" t="s">
        <v>255</v>
      </c>
    </row>
    <row r="157" spans="2:16" x14ac:dyDescent="0.2">
      <c r="B157" s="44">
        <f>VLOOKUP( T_ApifImport[[#This Row],[Bilans]], T_Bilansi[], 4, 0)</f>
        <v>27</v>
      </c>
      <c r="C157" s="226">
        <f>IF(AND([0]!Godina=2024,MID(Osnovni_podaci!D20,3,1)="e",Osnovni_podaci!L24=5,Osnovni_podaci!G24=0,MID(Osnovni_podaci!D20,3,1)="e",MID(Osnovni_podaci!D20,8,1)="d"),VLOOKUP( T_ApifImport[[#This Row],[ld]], T_Aop[], 4, 0),A1)</f>
        <v>219</v>
      </c>
      <c r="D1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28841715</v>
      </c>
      <c r="F1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27532293</v>
      </c>
      <c r="G1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7" t="s">
        <v>255</v>
      </c>
    </row>
    <row r="158" spans="2:16" x14ac:dyDescent="0.2">
      <c r="B158" s="44">
        <f>VLOOKUP( T_ApifImport[[#This Row],[Bilans]], T_Bilansi[], 4, 0)</f>
        <v>27</v>
      </c>
      <c r="C158" s="226">
        <f>IF(AND([0]!Godina=2024,MID(Osnovni_podaci!D20,3,1)="e",Osnovni_podaci!L24=5,Osnovni_podaci!G24=0,MID(Osnovni_podaci!D20,3,1)="e",MID(Osnovni_podaci!D20,8,1)="d"),VLOOKUP( T_ApifImport[[#This Row],[ld]], T_Aop[], 4, 0),A1)</f>
        <v>220</v>
      </c>
      <c r="D1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6382879</v>
      </c>
      <c r="F1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6758161</v>
      </c>
      <c r="G1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7" t="s">
        <v>255</v>
      </c>
    </row>
    <row r="159" spans="2:16" x14ac:dyDescent="0.2">
      <c r="B159" s="44">
        <f>VLOOKUP( T_ApifImport[[#This Row],[Bilans]], T_Bilansi[], 4, 0)</f>
        <v>27</v>
      </c>
      <c r="C159" s="226">
        <f>IF(AND([0]!Godina=2024,MID(Osnovni_podaci!D20,3,1)="e",Osnovni_podaci!L24=5,Osnovni_podaci!G24=0,MID(Osnovni_podaci!D20,3,1)="e",MID(Osnovni_podaci!D20,8,1)="d"),VLOOKUP( T_ApifImport[[#This Row],[ld]], T_Aop[], 4, 0),A1)</f>
        <v>221</v>
      </c>
      <c r="D1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434567</v>
      </c>
      <c r="F1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493911</v>
      </c>
      <c r="G1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7" t="s">
        <v>255</v>
      </c>
    </row>
    <row r="160" spans="2:16" x14ac:dyDescent="0.2">
      <c r="B160" s="44">
        <f>VLOOKUP( T_ApifImport[[#This Row],[Bilans]], T_Bilansi[], 4, 0)</f>
        <v>27</v>
      </c>
      <c r="C160" s="226">
        <f>IF(AND([0]!Godina=2024,MID(Osnovni_podaci!D20,3,1)="e",Osnovni_podaci!L24=5,Osnovni_podaci!G24=0,MID(Osnovni_podaci!D20,3,1)="e",MID(Osnovni_podaci!D20,8,1)="d"),VLOOKUP( T_ApifImport[[#This Row],[ld]], T_Aop[], 4, 0),A1)</f>
        <v>222</v>
      </c>
      <c r="D1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477526</v>
      </c>
      <c r="F1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500772</v>
      </c>
      <c r="G1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7" t="s">
        <v>255</v>
      </c>
    </row>
    <row r="161" spans="2:16" x14ac:dyDescent="0.2">
      <c r="B161" s="44">
        <f>VLOOKUP( T_ApifImport[[#This Row],[Bilans]], T_Bilansi[], 4, 0)</f>
        <v>27</v>
      </c>
      <c r="C161" s="226">
        <f>IF(AND([0]!Godina=2024,MID(Osnovni_podaci!D20,3,1)="e",Osnovni_podaci!L24=5,Osnovni_podaci!G24=0,MID(Osnovni_podaci!D20,3,1)="e",MID(Osnovni_podaci!D20,8,1)="d"),VLOOKUP( T_ApifImport[[#This Row],[ld]], T_Aop[], 4, 0),A1)</f>
        <v>223</v>
      </c>
      <c r="D1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12051813</v>
      </c>
      <c r="F1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11025733</v>
      </c>
      <c r="G1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7" t="s">
        <v>255</v>
      </c>
    </row>
    <row r="162" spans="2:16" x14ac:dyDescent="0.2">
      <c r="B162" s="44">
        <f>VLOOKUP( T_ApifImport[[#This Row],[Bilans]], T_Bilansi[], 4, 0)</f>
        <v>27</v>
      </c>
      <c r="C162" s="226">
        <f>IF(AND([0]!Godina=2024,MID(Osnovni_podaci!D20,3,1)="e",Osnovni_podaci!L24=5,Osnovni_podaci!G24=0,MID(Osnovni_podaci!D20,3,1)="e",MID(Osnovni_podaci!D20,8,1)="d"),VLOOKUP( T_ApifImport[[#This Row],[ld]], T_Aop[], 4, 0),A1)</f>
        <v>224</v>
      </c>
      <c r="D1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9596588</v>
      </c>
      <c r="F1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8752331</v>
      </c>
      <c r="G1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7" t="s">
        <v>255</v>
      </c>
    </row>
    <row r="163" spans="2:16" x14ac:dyDescent="0.2">
      <c r="B163" s="44">
        <f>VLOOKUP( T_ApifImport[[#This Row],[Bilans]], T_Bilansi[], 4, 0)</f>
        <v>27</v>
      </c>
      <c r="C163" s="226">
        <f>IF(AND([0]!Godina=2024,MID(Osnovni_podaci!D20,3,1)="e",Osnovni_podaci!L24=5,Osnovni_podaci!G24=0,MID(Osnovni_podaci!D20,3,1)="e",MID(Osnovni_podaci!D20,8,1)="d"),VLOOKUP( T_ApifImport[[#This Row],[ld]], T_Aop[], 4, 0),A1)</f>
        <v>225</v>
      </c>
      <c r="D1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2455225</v>
      </c>
      <c r="F1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2273402</v>
      </c>
      <c r="G1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7" t="s">
        <v>255</v>
      </c>
    </row>
    <row r="164" spans="2:16" x14ac:dyDescent="0.2">
      <c r="B164" s="44">
        <f>VLOOKUP( T_ApifImport[[#This Row],[Bilans]], T_Bilansi[], 4, 0)</f>
        <v>27</v>
      </c>
      <c r="C164" s="226">
        <f>IF(AND([0]!Godina=2024,MID(Osnovni_podaci!D20,3,1)="e",Osnovni_podaci!L24=5,Osnovni_podaci!G24=0,MID(Osnovni_podaci!D20,3,1)="e",MID(Osnovni_podaci!D20,8,1)="d"),VLOOKUP( T_ApifImport[[#This Row],[ld]], T_Aop[], 4, 0),A1)</f>
        <v>226</v>
      </c>
      <c r="D1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1125390</v>
      </c>
      <c r="F1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485203</v>
      </c>
      <c r="G1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7" t="s">
        <v>255</v>
      </c>
    </row>
    <row r="165" spans="2:16" x14ac:dyDescent="0.2">
      <c r="B165" s="44">
        <f>VLOOKUP( T_ApifImport[[#This Row],[Bilans]], T_Bilansi[], 4, 0)</f>
        <v>27</v>
      </c>
      <c r="C165" s="226">
        <f>IF(AND([0]!Godina=2024,MID(Osnovni_podaci!D20,3,1)="e",Osnovni_podaci!L24=5,Osnovni_podaci!G24=0,MID(Osnovni_podaci!D20,3,1)="e",MID(Osnovni_podaci!D20,8,1)="d"),VLOOKUP( T_ApifImport[[#This Row],[ld]], T_Aop[], 4, 0),A1)</f>
        <v>227</v>
      </c>
      <c r="D1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5102202</v>
      </c>
      <c r="F1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4881333</v>
      </c>
      <c r="G1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7" t="s">
        <v>255</v>
      </c>
    </row>
    <row r="166" spans="2:16" x14ac:dyDescent="0.2">
      <c r="B166" s="44">
        <f>VLOOKUP( T_ApifImport[[#This Row],[Bilans]], T_Bilansi[], 4, 0)</f>
        <v>27</v>
      </c>
      <c r="C166" s="226">
        <f>IF(AND([0]!Godina=2024,MID(Osnovni_podaci!D20,3,1)="e",Osnovni_podaci!L24=5,Osnovni_podaci!G24=0,MID(Osnovni_podaci!D20,3,1)="e",MID(Osnovni_podaci!D20,8,1)="d"),VLOOKUP( T_ApifImport[[#This Row],[ld]], T_Aop[], 4, 0),A1)</f>
        <v>228</v>
      </c>
      <c r="D1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5102202</v>
      </c>
      <c r="F1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4881333</v>
      </c>
      <c r="G1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7" t="s">
        <v>255</v>
      </c>
    </row>
    <row r="167" spans="2:16" x14ac:dyDescent="0.2">
      <c r="B167" s="44">
        <f>VLOOKUP( T_ApifImport[[#This Row],[Bilans]], T_Bilansi[], 4, 0)</f>
        <v>27</v>
      </c>
      <c r="C167" s="226">
        <f>IF(AND([0]!Godina=2024,MID(Osnovni_podaci!D20,3,1)="e",Osnovni_podaci!L24=5,Osnovni_podaci!G24=0,MID(Osnovni_podaci!D20,3,1)="e",MID(Osnovni_podaci!D20,8,1)="d"),VLOOKUP( T_ApifImport[[#This Row],[ld]], T_Aop[], 4, 0),A1)</f>
        <v>229</v>
      </c>
      <c r="D1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5087125</v>
      </c>
      <c r="F1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4881333</v>
      </c>
      <c r="G1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7" t="s">
        <v>255</v>
      </c>
    </row>
    <row r="168" spans="2:16" x14ac:dyDescent="0.2">
      <c r="B168" s="44">
        <f>VLOOKUP( T_ApifImport[[#This Row],[Bilans]], T_Bilansi[], 4, 0)</f>
        <v>27</v>
      </c>
      <c r="C168" s="226">
        <f>IF(AND([0]!Godina=2024,MID(Osnovni_podaci!D20,3,1)="e",Osnovni_podaci!L24=5,Osnovni_podaci!G24=0,MID(Osnovni_podaci!D20,3,1)="e",MID(Osnovni_podaci!D20,8,1)="d"),VLOOKUP( T_ApifImport[[#This Row],[ld]], T_Aop[], 4, 0),A1)</f>
        <v>230</v>
      </c>
      <c r="D1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7" t="s">
        <v>255</v>
      </c>
    </row>
    <row r="169" spans="2:16" x14ac:dyDescent="0.2">
      <c r="B169" s="44">
        <f>VLOOKUP( T_ApifImport[[#This Row],[Bilans]], T_Bilansi[], 4, 0)</f>
        <v>27</v>
      </c>
      <c r="C169" s="226">
        <f>IF(AND([0]!Godina=2024,MID(Osnovni_podaci!D20,3,1)="e",Osnovni_podaci!L24=5,Osnovni_podaci!G24=0,MID(Osnovni_podaci!D20,3,1)="e",MID(Osnovni_podaci!D20,8,1)="d"),VLOOKUP( T_ApifImport[[#This Row],[ld]], T_Aop[], 4, 0),A1)</f>
        <v>231</v>
      </c>
      <c r="D1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15077</v>
      </c>
      <c r="F1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7" t="s">
        <v>255</v>
      </c>
    </row>
    <row r="170" spans="2:16" x14ac:dyDescent="0.2">
      <c r="B170" s="44">
        <f>VLOOKUP( T_ApifImport[[#This Row],[Bilans]], T_Bilansi[], 4, 0)</f>
        <v>27</v>
      </c>
      <c r="C170" s="226">
        <f>IF(AND([0]!Godina=2024,MID(Osnovni_podaci!D20,3,1)="e",Osnovni_podaci!L24=5,Osnovni_podaci!G24=0,MID(Osnovni_podaci!D20,3,1)="e",MID(Osnovni_podaci!D20,8,1)="d"),VLOOKUP( T_ApifImport[[#This Row],[ld]], T_Aop[], 4, 0),A1)</f>
        <v>232</v>
      </c>
      <c r="D1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7" t="s">
        <v>255</v>
      </c>
    </row>
    <row r="171" spans="2:16" x14ac:dyDescent="0.2">
      <c r="B171" s="44">
        <f>VLOOKUP( T_ApifImport[[#This Row],[Bilans]], T_Bilansi[], 4, 0)</f>
        <v>27</v>
      </c>
      <c r="C171" s="226">
        <f>IF(AND([0]!Godina=2024,MID(Osnovni_podaci!D20,3,1)="e",Osnovni_podaci!L24=5,Osnovni_podaci!G24=0,MID(Osnovni_podaci!D20,3,1)="e",MID(Osnovni_podaci!D20,8,1)="d"),VLOOKUP( T_ApifImport[[#This Row],[ld]], T_Aop[], 4, 0),A1)</f>
        <v>233</v>
      </c>
      <c r="D1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7" t="s">
        <v>255</v>
      </c>
    </row>
    <row r="172" spans="2:16" x14ac:dyDescent="0.2">
      <c r="B172" s="44">
        <f>VLOOKUP( T_ApifImport[[#This Row],[Bilans]], T_Bilansi[], 4, 0)</f>
        <v>27</v>
      </c>
      <c r="C172" s="226">
        <f>IF(AND([0]!Godina=2024,MID(Osnovni_podaci!D20,3,1)="e",Osnovni_podaci!L24=5,Osnovni_podaci!G24=0,MID(Osnovni_podaci!D20,3,1)="e",MID(Osnovni_podaci!D20,8,1)="d"),VLOOKUP( T_ApifImport[[#This Row],[ld]], T_Aop[], 4, 0),A1)</f>
        <v>234</v>
      </c>
      <c r="D1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2864464</v>
      </c>
      <c r="F1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2845261</v>
      </c>
      <c r="G1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7" t="s">
        <v>255</v>
      </c>
    </row>
    <row r="173" spans="2:16" x14ac:dyDescent="0.2">
      <c r="B173" s="44">
        <f>VLOOKUP( T_ApifImport[[#This Row],[Bilans]], T_Bilansi[], 4, 0)</f>
        <v>27</v>
      </c>
      <c r="C173" s="226">
        <f>IF(AND([0]!Godina=2024,MID(Osnovni_podaci!D20,3,1)="e",Osnovni_podaci!L24=5,Osnovni_podaci!G24=0,MID(Osnovni_podaci!D20,3,1)="e",MID(Osnovni_podaci!D20,8,1)="d"),VLOOKUP( T_ApifImport[[#This Row],[ld]], T_Aop[], 4, 0),A1)</f>
        <v>235</v>
      </c>
      <c r="D1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248968</v>
      </c>
      <c r="F1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367662</v>
      </c>
      <c r="G1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7" t="s">
        <v>255</v>
      </c>
    </row>
    <row r="174" spans="2:16" x14ac:dyDescent="0.2">
      <c r="B174" s="44">
        <f>VLOOKUP( T_ApifImport[[#This Row],[Bilans]], T_Bilansi[], 4, 0)</f>
        <v>27</v>
      </c>
      <c r="C174" s="226">
        <f>IF(AND([0]!Godina=2024,MID(Osnovni_podaci!D20,3,1)="e",Osnovni_podaci!L24=5,Osnovni_podaci!G24=0,MID(Osnovni_podaci!D20,3,1)="e",MID(Osnovni_podaci!D20,8,1)="d"),VLOOKUP( T_ApifImport[[#This Row],[ld]], T_Aop[], 4, 0),A1)</f>
        <v>236</v>
      </c>
      <c r="D1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153906</v>
      </c>
      <c r="F1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174257</v>
      </c>
      <c r="G1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7" t="s">
        <v>255</v>
      </c>
    </row>
    <row r="175" spans="2:16" x14ac:dyDescent="0.2">
      <c r="B175" s="44">
        <f>VLOOKUP( T_ApifImport[[#This Row],[Bilans]], T_Bilansi[], 4, 0)</f>
        <v>27</v>
      </c>
      <c r="C175" s="226">
        <f>IF(AND([0]!Godina=2024,MID(Osnovni_podaci!D20,3,1)="e",Osnovni_podaci!L24=5,Osnovni_podaci!G24=0,MID(Osnovni_podaci!D20,3,1)="e",MID(Osnovni_podaci!D20,8,1)="d"),VLOOKUP( T_ApifImport[[#This Row],[ld]], T_Aop[], 4, 0),A1)</f>
        <v>237</v>
      </c>
      <c r="D1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755646</v>
      </c>
      <c r="F1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4308928</v>
      </c>
      <c r="G1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7" t="s">
        <v>255</v>
      </c>
    </row>
    <row r="176" spans="2:16" x14ac:dyDescent="0.2">
      <c r="B176" s="44">
        <f>VLOOKUP( T_ApifImport[[#This Row],[Bilans]], T_Bilansi[], 4, 0)</f>
        <v>27</v>
      </c>
      <c r="C176" s="226">
        <f>IF(AND([0]!Godina=2024,MID(Osnovni_podaci!D20,3,1)="e",Osnovni_podaci!L24=5,Osnovni_podaci!G24=0,MID(Osnovni_podaci!D20,3,1)="e",MID(Osnovni_podaci!D20,8,1)="d"),VLOOKUP( T_ApifImport[[#This Row],[ld]], T_Aop[], 4, 0),A1)</f>
        <v>238</v>
      </c>
      <c r="D1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7" t="s">
        <v>255</v>
      </c>
    </row>
    <row r="177" spans="2:16" x14ac:dyDescent="0.2">
      <c r="B177" s="44">
        <f>VLOOKUP( T_ApifImport[[#This Row],[Bilans]], T_Bilansi[], 4, 0)</f>
        <v>27</v>
      </c>
      <c r="C177" s="226">
        <f>IF(AND([0]!Godina=2024,MID(Osnovni_podaci!D20,3,1)="e",Osnovni_podaci!L24=5,Osnovni_podaci!G24=0,MID(Osnovni_podaci!D20,3,1)="e",MID(Osnovni_podaci!D20,8,1)="d"),VLOOKUP( T_ApifImport[[#This Row],[ld]], T_Aop[], 4, 0),A1)</f>
        <v>239</v>
      </c>
      <c r="D1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18658</v>
      </c>
      <c r="F1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23685</v>
      </c>
      <c r="G1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7" t="s">
        <v>255</v>
      </c>
    </row>
    <row r="178" spans="2:16" x14ac:dyDescent="0.2">
      <c r="B178" s="44">
        <f>VLOOKUP( T_ApifImport[[#This Row],[Bilans]], T_Bilansi[], 4, 0)</f>
        <v>27</v>
      </c>
      <c r="C178" s="226">
        <f>IF(AND([0]!Godina=2024,MID(Osnovni_podaci!D20,3,1)="e",Osnovni_podaci!L24=5,Osnovni_podaci!G24=0,MID(Osnovni_podaci!D20,3,1)="e",MID(Osnovni_podaci!D20,8,1)="d"),VLOOKUP( T_ApifImport[[#This Row],[ld]], T_Aop[], 4, 0),A1)</f>
        <v>240</v>
      </c>
      <c r="D1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18655</v>
      </c>
      <c r="F1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23679</v>
      </c>
      <c r="G1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7" t="s">
        <v>255</v>
      </c>
    </row>
    <row r="179" spans="2:16" x14ac:dyDescent="0.2">
      <c r="B179" s="44">
        <f>VLOOKUP( T_ApifImport[[#This Row],[Bilans]], T_Bilansi[], 4, 0)</f>
        <v>27</v>
      </c>
      <c r="C179" s="226">
        <f>IF(AND([0]!Godina=2024,MID(Osnovni_podaci!D20,3,1)="e",Osnovni_podaci!L24=5,Osnovni_podaci!G24=0,MID(Osnovni_podaci!D20,3,1)="e",MID(Osnovni_podaci!D20,8,1)="d"),VLOOKUP( T_ApifImport[[#This Row],[ld]], T_Aop[], 4, 0),A1)</f>
        <v>241</v>
      </c>
      <c r="D1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7" t="s">
        <v>255</v>
      </c>
    </row>
    <row r="180" spans="2:16" x14ac:dyDescent="0.2">
      <c r="B180" s="44">
        <f>VLOOKUP( T_ApifImport[[#This Row],[Bilans]], T_Bilansi[], 4, 0)</f>
        <v>27</v>
      </c>
      <c r="C180" s="226">
        <f>IF(AND([0]!Godina=2024,MID(Osnovni_podaci!D20,3,1)="e",Osnovni_podaci!L24=5,Osnovni_podaci!G24=0,MID(Osnovni_podaci!D20,3,1)="e",MID(Osnovni_podaci!D20,8,1)="d"),VLOOKUP( T_ApifImport[[#This Row],[ld]], T_Aop[], 4, 0),A1)</f>
        <v>242</v>
      </c>
      <c r="D1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7" t="s">
        <v>255</v>
      </c>
    </row>
    <row r="181" spans="2:16" x14ac:dyDescent="0.2">
      <c r="B181" s="44">
        <f>VLOOKUP( T_ApifImport[[#This Row],[Bilans]], T_Bilansi[], 4, 0)</f>
        <v>27</v>
      </c>
      <c r="C181" s="226">
        <f>IF(AND([0]!Godina=2024,MID(Osnovni_podaci!D20,3,1)="e",Osnovni_podaci!L24=5,Osnovni_podaci!G24=0,MID(Osnovni_podaci!D20,3,1)="e",MID(Osnovni_podaci!D20,8,1)="d"),VLOOKUP( T_ApifImport[[#This Row],[ld]], T_Aop[], 4, 0),A1)</f>
        <v>243</v>
      </c>
      <c r="D1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v>
      </c>
      <c r="G1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7" t="s">
        <v>255</v>
      </c>
    </row>
    <row r="182" spans="2:16" x14ac:dyDescent="0.2">
      <c r="B182" s="44">
        <f>VLOOKUP( T_ApifImport[[#This Row],[Bilans]], T_Bilansi[], 4, 0)</f>
        <v>27</v>
      </c>
      <c r="C182" s="226">
        <f>IF(AND([0]!Godina=2024,MID(Osnovni_podaci!D20,3,1)="e",Osnovni_podaci!L24=5,Osnovni_podaci!G24=0,MID(Osnovni_podaci!D20,3,1)="e",MID(Osnovni_podaci!D20,8,1)="d"),VLOOKUP( T_ApifImport[[#This Row],[ld]], T_Aop[], 4, 0),A1)</f>
        <v>244</v>
      </c>
      <c r="D1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542330</v>
      </c>
      <c r="F1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481170</v>
      </c>
      <c r="G1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7" t="s">
        <v>255</v>
      </c>
    </row>
    <row r="183" spans="2:16" x14ac:dyDescent="0.2">
      <c r="B183" s="44">
        <f>VLOOKUP( T_ApifImport[[#This Row],[Bilans]], T_Bilansi[], 4, 0)</f>
        <v>27</v>
      </c>
      <c r="C183" s="226">
        <f>IF(AND([0]!Godina=2024,MID(Osnovni_podaci!D20,3,1)="e",Osnovni_podaci!L24=5,Osnovni_podaci!G24=0,MID(Osnovni_podaci!D20,3,1)="e",MID(Osnovni_podaci!D20,8,1)="d"),VLOOKUP( T_ApifImport[[#This Row],[ld]], T_Aop[], 4, 0),A1)</f>
        <v>245</v>
      </c>
      <c r="D1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542327</v>
      </c>
      <c r="F1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481166</v>
      </c>
      <c r="G1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7" t="s">
        <v>255</v>
      </c>
    </row>
    <row r="184" spans="2:16" x14ac:dyDescent="0.2">
      <c r="B184" s="44">
        <f>VLOOKUP( T_ApifImport[[#This Row],[Bilans]], T_Bilansi[], 4, 0)</f>
        <v>27</v>
      </c>
      <c r="C184" s="226">
        <f>IF(AND([0]!Godina=2024,MID(Osnovni_podaci!D20,3,1)="e",Osnovni_podaci!L24=5,Osnovni_podaci!G24=0,MID(Osnovni_podaci!D20,3,1)="e",MID(Osnovni_podaci!D20,8,1)="d"),VLOOKUP( T_ApifImport[[#This Row],[ld]], T_Aop[], 4, 0),A1)</f>
        <v>246</v>
      </c>
      <c r="D1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7" t="s">
        <v>255</v>
      </c>
    </row>
    <row r="185" spans="2:16" x14ac:dyDescent="0.2">
      <c r="B185" s="44">
        <f>VLOOKUP( T_ApifImport[[#This Row],[Bilans]], T_Bilansi[], 4, 0)</f>
        <v>27</v>
      </c>
      <c r="C185" s="226">
        <f>IF(AND([0]!Godina=2024,MID(Osnovni_podaci!D20,3,1)="e",Osnovni_podaci!L24=5,Osnovni_podaci!G24=0,MID(Osnovni_podaci!D20,3,1)="e",MID(Osnovni_podaci!D20,8,1)="d"),VLOOKUP( T_ApifImport[[#This Row],[ld]], T_Aop[], 4, 0),A1)</f>
        <v>247</v>
      </c>
      <c r="D1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7" t="s">
        <v>255</v>
      </c>
    </row>
    <row r="186" spans="2:16" x14ac:dyDescent="0.2">
      <c r="B186" s="44">
        <f>VLOOKUP( T_ApifImport[[#This Row],[Bilans]], T_Bilansi[], 4, 0)</f>
        <v>27</v>
      </c>
      <c r="C186" s="226">
        <f>IF(AND([0]!Godina=2024,MID(Osnovni_podaci!D20,3,1)="e",Osnovni_podaci!L24=5,Osnovni_podaci!G24=0,MID(Osnovni_podaci!D20,3,1)="e",MID(Osnovni_podaci!D20,8,1)="d"),VLOOKUP( T_ApifImport[[#This Row],[ld]], T_Aop[], 4, 0),A1)</f>
        <v>248</v>
      </c>
      <c r="D1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v>
      </c>
      <c r="G1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7" t="s">
        <v>255</v>
      </c>
    </row>
    <row r="187" spans="2:16" x14ac:dyDescent="0.2">
      <c r="B187" s="44">
        <f>VLOOKUP( T_ApifImport[[#This Row],[Bilans]], T_Bilansi[], 4, 0)</f>
        <v>27</v>
      </c>
      <c r="C187" s="226">
        <f>IF(AND([0]!Godina=2024,MID(Osnovni_podaci!D20,3,1)="e",Osnovni_podaci!L24=5,Osnovni_podaci!G24=0,MID(Osnovni_podaci!D20,3,1)="e",MID(Osnovni_podaci!D20,8,1)="d"),VLOOKUP( T_ApifImport[[#This Row],[ld]], T_Aop[], 4, 0),A1)</f>
        <v>249</v>
      </c>
      <c r="D1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231974</v>
      </c>
      <c r="F1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3851443</v>
      </c>
      <c r="G1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7" t="s">
        <v>255</v>
      </c>
    </row>
    <row r="188" spans="2:16" x14ac:dyDescent="0.2">
      <c r="B188" s="44">
        <f>VLOOKUP( T_ApifImport[[#This Row],[Bilans]], T_Bilansi[], 4, 0)</f>
        <v>27</v>
      </c>
      <c r="C188" s="226">
        <f>IF(AND([0]!Godina=2024,MID(Osnovni_podaci!D20,3,1)="e",Osnovni_podaci!L24=5,Osnovni_podaci!G24=0,MID(Osnovni_podaci!D20,3,1)="e",MID(Osnovni_podaci!D20,8,1)="d"),VLOOKUP( T_ApifImport[[#This Row],[ld]], T_Aop[], 4, 0),A1)</f>
        <v>250</v>
      </c>
      <c r="D1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7" t="s">
        <v>255</v>
      </c>
    </row>
    <row r="189" spans="2:16" x14ac:dyDescent="0.2">
      <c r="B189" s="44">
        <f>VLOOKUP( T_ApifImport[[#This Row],[Bilans]], T_Bilansi[], 4, 0)</f>
        <v>27</v>
      </c>
      <c r="C189" s="226">
        <f>IF(AND([0]!Godina=2024,MID(Osnovni_podaci!D20,3,1)="e",Osnovni_podaci!L24=5,Osnovni_podaci!G24=0,MID(Osnovni_podaci!D20,3,1)="e",MID(Osnovni_podaci!D20,8,1)="d"),VLOOKUP( T_ApifImport[[#This Row],[ld]], T_Aop[], 4, 0),A1)</f>
        <v>251</v>
      </c>
      <c r="D1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447327</v>
      </c>
      <c r="F1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142616</v>
      </c>
      <c r="G1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7" t="s">
        <v>255</v>
      </c>
    </row>
    <row r="190" spans="2:16" x14ac:dyDescent="0.2">
      <c r="B190" s="44">
        <f>VLOOKUP( T_ApifImport[[#This Row],[Bilans]], T_Bilansi[], 4, 0)</f>
        <v>27</v>
      </c>
      <c r="C190" s="226">
        <f>IF(AND([0]!Godina=2024,MID(Osnovni_podaci!D20,3,1)="e",Osnovni_podaci!L24=5,Osnovni_podaci!G24=0,MID(Osnovni_podaci!D20,3,1)="e",MID(Osnovni_podaci!D20,8,1)="d"),VLOOKUP( T_ApifImport[[#This Row],[ld]], T_Aop[], 4, 0),A1)</f>
        <v>252</v>
      </c>
      <c r="D1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G1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7" t="s">
        <v>255</v>
      </c>
    </row>
    <row r="191" spans="2:16" x14ac:dyDescent="0.2">
      <c r="B191" s="44">
        <f>VLOOKUP( T_ApifImport[[#This Row],[Bilans]], T_Bilansi[], 4, 0)</f>
        <v>27</v>
      </c>
      <c r="C191" s="226">
        <f>IF(AND([0]!Godina=2024,MID(Osnovni_podaci!D20,3,1)="e",Osnovni_podaci!L24=5,Osnovni_podaci!G24=0,MID(Osnovni_podaci!D20,3,1)="e",MID(Osnovni_podaci!D20,8,1)="d"),VLOOKUP( T_ApifImport[[#This Row],[ld]], T_Aop[], 4, 0),A1)</f>
        <v>253</v>
      </c>
      <c r="D1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7" t="s">
        <v>255</v>
      </c>
    </row>
    <row r="192" spans="2:16" x14ac:dyDescent="0.2">
      <c r="B192" s="44">
        <f>VLOOKUP( T_ApifImport[[#This Row],[Bilans]], T_Bilansi[], 4, 0)</f>
        <v>27</v>
      </c>
      <c r="C192" s="226">
        <f>IF(AND([0]!Godina=2024,MID(Osnovni_podaci!D20,3,1)="e",Osnovni_podaci!L24=5,Osnovni_podaci!G24=0,MID(Osnovni_podaci!D20,3,1)="e",MID(Osnovni_podaci!D20,8,1)="d"),VLOOKUP( T_ApifImport[[#This Row],[ld]], T_Aop[], 4, 0),A1)</f>
        <v>254</v>
      </c>
      <c r="D1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7" t="s">
        <v>255</v>
      </c>
    </row>
    <row r="193" spans="2:16" x14ac:dyDescent="0.2">
      <c r="B193" s="44">
        <f>VLOOKUP( T_ApifImport[[#This Row],[Bilans]], T_Bilansi[], 4, 0)</f>
        <v>27</v>
      </c>
      <c r="C193" s="226">
        <f>IF(AND([0]!Godina=2024,MID(Osnovni_podaci!D20,3,1)="e",Osnovni_podaci!L24=5,Osnovni_podaci!G24=0,MID(Osnovni_podaci!D20,3,1)="e",MID(Osnovni_podaci!D20,8,1)="d"),VLOOKUP( T_ApifImport[[#This Row],[ld]], T_Aop[], 4, 0),A1)</f>
        <v>255</v>
      </c>
      <c r="D1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7" t="s">
        <v>255</v>
      </c>
    </row>
    <row r="194" spans="2:16" x14ac:dyDescent="0.2">
      <c r="B194" s="44">
        <f>VLOOKUP( T_ApifImport[[#This Row],[Bilans]], T_Bilansi[], 4, 0)</f>
        <v>27</v>
      </c>
      <c r="C194" s="226">
        <f>IF(AND([0]!Godina=2024,MID(Osnovni_podaci!D20,3,1)="e",Osnovni_podaci!L24=5,Osnovni_podaci!G24=0,MID(Osnovni_podaci!D20,3,1)="e",MID(Osnovni_podaci!D20,8,1)="d"),VLOOKUP( T_ApifImport[[#This Row],[ld]], T_Aop[], 4, 0),A1)</f>
        <v>256</v>
      </c>
      <c r="D1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7" t="s">
        <v>255</v>
      </c>
    </row>
    <row r="195" spans="2:16" x14ac:dyDescent="0.2">
      <c r="B195" s="44">
        <f>VLOOKUP( T_ApifImport[[#This Row],[Bilans]], T_Bilansi[], 4, 0)</f>
        <v>27</v>
      </c>
      <c r="C195" s="226">
        <f>IF(AND([0]!Godina=2024,MID(Osnovni_podaci!D20,3,1)="e",Osnovni_podaci!L24=5,Osnovni_podaci!G24=0,MID(Osnovni_podaci!D20,3,1)="e",MID(Osnovni_podaci!D20,8,1)="d"),VLOOKUP( T_ApifImport[[#This Row],[ld]], T_Aop[], 4, 0),A1)</f>
        <v>257</v>
      </c>
      <c r="D1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7" t="s">
        <v>255</v>
      </c>
    </row>
    <row r="196" spans="2:16" x14ac:dyDescent="0.2">
      <c r="B196" s="44">
        <f>VLOOKUP( T_ApifImport[[#This Row],[Bilans]], T_Bilansi[], 4, 0)</f>
        <v>27</v>
      </c>
      <c r="C196" s="226">
        <f>IF(AND([0]!Godina=2024,MID(Osnovni_podaci!D20,3,1)="e",Osnovni_podaci!L24=5,Osnovni_podaci!G24=0,MID(Osnovni_podaci!D20,3,1)="e",MID(Osnovni_podaci!D20,8,1)="d"),VLOOKUP( T_ApifImport[[#This Row],[ld]], T_Aop[], 4, 0),A1)</f>
        <v>258</v>
      </c>
      <c r="D1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v>
      </c>
      <c r="F1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v>
      </c>
      <c r="G1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7" t="s">
        <v>255</v>
      </c>
    </row>
    <row r="197" spans="2:16" x14ac:dyDescent="0.2">
      <c r="B197" s="44">
        <f>VLOOKUP( T_ApifImport[[#This Row],[Bilans]], T_Bilansi[], 4, 0)</f>
        <v>27</v>
      </c>
      <c r="C197" s="226">
        <f>IF(AND([0]!Godina=2024,MID(Osnovni_podaci!D20,3,1)="e",Osnovni_podaci!L24=5,Osnovni_podaci!G24=0,MID(Osnovni_podaci!D20,3,1)="e",MID(Osnovni_podaci!D20,8,1)="d"),VLOOKUP( T_ApifImport[[#This Row],[ld]], T_Aop[], 4, 0),A1)</f>
        <v>259</v>
      </c>
      <c r="D1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447222</v>
      </c>
      <c r="F1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137241</v>
      </c>
      <c r="G1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7" t="s">
        <v>255</v>
      </c>
    </row>
    <row r="198" spans="2:16" x14ac:dyDescent="0.2">
      <c r="B198" s="44">
        <f>VLOOKUP( T_ApifImport[[#This Row],[Bilans]], T_Bilansi[], 4, 0)</f>
        <v>27</v>
      </c>
      <c r="C198" s="226">
        <f>IF(AND([0]!Godina=2024,MID(Osnovni_podaci!D20,3,1)="e",Osnovni_podaci!L24=5,Osnovni_podaci!G24=0,MID(Osnovni_podaci!D20,3,1)="e",MID(Osnovni_podaci!D20,8,1)="d"),VLOOKUP( T_ApifImport[[#This Row],[ld]], T_Aop[], 4, 0),A1)</f>
        <v>260</v>
      </c>
      <c r="D1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7" t="s">
        <v>255</v>
      </c>
    </row>
    <row r="199" spans="2:16" x14ac:dyDescent="0.2">
      <c r="B199" s="44">
        <f>VLOOKUP( T_ApifImport[[#This Row],[Bilans]], T_Bilansi[], 4, 0)</f>
        <v>27</v>
      </c>
      <c r="C199" s="226">
        <f>IF(AND([0]!Godina=2024,MID(Osnovni_podaci!D20,3,1)="e",Osnovni_podaci!L24=5,Osnovni_podaci!G24=0,MID(Osnovni_podaci!D20,3,1)="e",MID(Osnovni_podaci!D20,8,1)="d"),VLOOKUP( T_ApifImport[[#This Row],[ld]], T_Aop[], 4, 0),A1)</f>
        <v>261</v>
      </c>
      <c r="D1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157807</v>
      </c>
      <c r="F1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37220</v>
      </c>
      <c r="G1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7" t="s">
        <v>255</v>
      </c>
    </row>
    <row r="200" spans="2:16" x14ac:dyDescent="0.2">
      <c r="B200" s="44">
        <f>VLOOKUP( T_ApifImport[[#This Row],[Bilans]], T_Bilansi[], 4, 0)</f>
        <v>27</v>
      </c>
      <c r="C200" s="226">
        <f>IF(AND([0]!Godina=2024,MID(Osnovni_podaci!D20,3,1)="e",Osnovni_podaci!L24=5,Osnovni_podaci!G24=0,MID(Osnovni_podaci!D20,3,1)="e",MID(Osnovni_podaci!D20,8,1)="d"),VLOOKUP( T_ApifImport[[#This Row],[ld]], T_Aop[], 4, 0),A1)</f>
        <v>262</v>
      </c>
      <c r="D2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89126</v>
      </c>
      <c r="F2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7" t="s">
        <v>255</v>
      </c>
    </row>
    <row r="201" spans="2:16" x14ac:dyDescent="0.2">
      <c r="B201" s="44">
        <f>VLOOKUP( T_ApifImport[[#This Row],[Bilans]], T_Bilansi[], 4, 0)</f>
        <v>27</v>
      </c>
      <c r="C201" s="226">
        <f>VLOOKUP( T_ApifImport[[#This Row],[ld]], T_Aop[], 4, 0)</f>
        <v>263</v>
      </c>
      <c r="D2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7" t="s">
        <v>255</v>
      </c>
    </row>
    <row r="202" spans="2:16" x14ac:dyDescent="0.2">
      <c r="B202" s="44">
        <f>VLOOKUP( T_ApifImport[[#This Row],[Bilans]], T_Bilansi[], 4, 0)</f>
        <v>27</v>
      </c>
      <c r="C202" s="226">
        <f>VLOOKUP( T_ApifImport[[#This Row],[ld]], T_Aop[], 4, 0)</f>
        <v>264</v>
      </c>
      <c r="D2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7" t="s">
        <v>255</v>
      </c>
    </row>
    <row r="203" spans="2:16" x14ac:dyDescent="0.2">
      <c r="B203" s="44">
        <f>VLOOKUP( T_ApifImport[[#This Row],[Bilans]], T_Bilansi[], 4, 0)</f>
        <v>27</v>
      </c>
      <c r="C203" s="226">
        <f>VLOOKUP( T_ApifImport[[#This Row],[ld]], T_Aop[], 4, 0)</f>
        <v>265</v>
      </c>
      <c r="D2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6">
        <f>VLOOKUP( T_ApifImport[[#This Row],[ld]], T_Aop[], 4, 0)</f>
        <v>266</v>
      </c>
      <c r="D2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6">
        <f>VLOOKUP( T_ApifImport[[#This Row],[ld]], T_Aop[], 4, 0)</f>
        <v>267</v>
      </c>
      <c r="D2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6">
        <f>VLOOKUP( T_ApifImport[[#This Row],[ld]], T_Aop[], 4, 0)</f>
        <v>268</v>
      </c>
      <c r="D2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6">
        <f>VLOOKUP( T_ApifImport[[#This Row],[ld]], T_Aop[], 4, 0)</f>
        <v>269</v>
      </c>
      <c r="D2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6">
        <f>VLOOKUP( T_ApifImport[[#This Row],[ld]], T_Aop[], 4, 0)</f>
        <v>270</v>
      </c>
      <c r="D2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68681</v>
      </c>
      <c r="F20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37220</v>
      </c>
      <c r="G2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6">
        <f>VLOOKUP( T_ApifImport[[#This Row],[ld]], T_Aop[], 4, 0)</f>
        <v>271</v>
      </c>
      <c r="D2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289520</v>
      </c>
      <c r="F20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105396</v>
      </c>
      <c r="G2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6">
        <f>VLOOKUP( T_ApifImport[[#This Row],[ld]], T_Aop[], 4, 0)</f>
        <v>272</v>
      </c>
      <c r="D2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6">
        <f>VLOOKUP( T_ApifImport[[#This Row],[ld]], T_Aop[], 4, 0)</f>
        <v>273</v>
      </c>
      <c r="D2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v>
      </c>
      <c r="G2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6">
        <f>VLOOKUP( T_ApifImport[[#This Row],[ld]], T_Aop[], 4, 0)</f>
        <v>274</v>
      </c>
      <c r="D2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v>
      </c>
      <c r="G2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6">
        <f>VLOOKUP( T_ApifImport[[#This Row],[ld]], T_Aop[], 4, 0)</f>
        <v>275</v>
      </c>
      <c r="D2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6">
        <f>VLOOKUP( T_ApifImport[[#This Row],[ld]], T_Aop[], 4, 0)</f>
        <v>276</v>
      </c>
      <c r="D2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6">
        <f>VLOOKUP( T_ApifImport[[#This Row],[ld]], T_Aop[], 4, 0)</f>
        <v>277</v>
      </c>
      <c r="D2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6">
        <f>VLOOKUP( T_ApifImport[[#This Row],[ld]], T_Aop[], 4, 0)</f>
        <v>278</v>
      </c>
      <c r="D2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6">
        <f>VLOOKUP( T_ApifImport[[#This Row],[ld]], T_Aop[], 4, 0)</f>
        <v>279</v>
      </c>
      <c r="D2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18</v>
      </c>
      <c r="G2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6">
        <f>VLOOKUP( T_ApifImport[[#This Row],[ld]], T_Aop[], 4, 0)</f>
        <v>280</v>
      </c>
      <c r="D2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6">
        <f>VLOOKUP( T_ApifImport[[#This Row],[ld]], T_Aop[], 4, 0)</f>
        <v>281</v>
      </c>
      <c r="D2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6">
        <f>VLOOKUP( T_ApifImport[[#This Row],[ld]], T_Aop[], 4, 0)</f>
        <v>282</v>
      </c>
      <c r="D2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6">
        <f>VLOOKUP( T_ApifImport[[#This Row],[ld]], T_Aop[], 4, 0)</f>
        <v>283</v>
      </c>
      <c r="D2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6">
        <f>VLOOKUP( T_ApifImport[[#This Row],[ld]], T_Aop[], 4, 0)</f>
        <v>284</v>
      </c>
      <c r="D2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6">
        <f>VLOOKUP( T_ApifImport[[#This Row],[ld]], T_Aop[], 4, 0)</f>
        <v>285</v>
      </c>
      <c r="D2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6">
        <f>VLOOKUP( T_ApifImport[[#This Row],[ld]], T_Aop[], 4, 0)</f>
        <v>286</v>
      </c>
      <c r="D2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v>
      </c>
      <c r="G2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6">
        <f>VLOOKUP( T_ApifImport[[#This Row],[ld]], T_Aop[], 4, 0)</f>
        <v>287</v>
      </c>
      <c r="D2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v>
      </c>
      <c r="G2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6">
        <f>VLOOKUP( T_ApifImport[[#This Row],[ld]], T_Aop[], 4, 0)</f>
        <v>288</v>
      </c>
      <c r="D2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6">
        <f>VLOOKUP( T_ApifImport[[#This Row],[ld]], T_Aop[], 4, 0)</f>
        <v>289</v>
      </c>
      <c r="D2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6">
        <f>VLOOKUP( T_ApifImport[[#This Row],[ld]], T_Aop[], 4, 0)</f>
        <v>290</v>
      </c>
      <c r="D2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6">
        <f>VLOOKUP( T_ApifImport[[#This Row],[ld]], T_Aop[], 4, 0)</f>
        <v>291</v>
      </c>
      <c r="D2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6">
        <f>VLOOKUP( T_ApifImport[[#This Row],[ld]], T_Aop[], 4, 0)</f>
        <v>292</v>
      </c>
      <c r="D2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v>
      </c>
      <c r="G2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6">
        <f>VLOOKUP( T_ApifImport[[#This Row],[ld]], T_Aop[], 4, 0)</f>
        <v>293</v>
      </c>
      <c r="D2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6">
        <f>VLOOKUP( T_ApifImport[[#This Row],[ld]], T_Aop[], 4, 0)</f>
        <v>294</v>
      </c>
      <c r="D2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6">
        <f>VLOOKUP( T_ApifImport[[#This Row],[ld]], T_Aop[], 4, 0)</f>
        <v>295</v>
      </c>
      <c r="D2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6">
        <f>VLOOKUP( T_ApifImport[[#This Row],[ld]], T_Aop[], 4, 0)</f>
        <v>296</v>
      </c>
      <c r="D2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6">
        <f>VLOOKUP( T_ApifImport[[#This Row],[ld]], T_Aop[], 4, 0)</f>
        <v>297</v>
      </c>
      <c r="D2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6">
        <f>VLOOKUP( T_ApifImport[[#This Row],[ld]], T_Aop[], 4, 0)</f>
        <v>298</v>
      </c>
      <c r="D2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6">
        <f>VLOOKUP( T_ApifImport[[#This Row],[ld]], T_Aop[], 4, 0)</f>
        <v>299</v>
      </c>
      <c r="D2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v>
      </c>
      <c r="G2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6">
        <f>VLOOKUP( T_ApifImport[[#This Row],[ld]], T_Aop[], 4, 0)</f>
        <v>300</v>
      </c>
      <c r="D2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6">
        <f>VLOOKUP( T_ApifImport[[#This Row],[ld]], T_Aop[], 4, 0)</f>
        <v>301</v>
      </c>
      <c r="D2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v>
      </c>
      <c r="F23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6235</v>
      </c>
      <c r="G2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6">
        <f>VLOOKUP( T_ApifImport[[#This Row],[ld]], T_Aop[], 4, 0)</f>
        <v>302</v>
      </c>
      <c r="D2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5116</v>
      </c>
      <c r="F24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1563</v>
      </c>
      <c r="G2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6">
        <f>VLOOKUP( T_ApifImport[[#This Row],[ld]], T_Aop[], 4, 0)</f>
        <v>303</v>
      </c>
      <c r="D2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6">
        <f>VLOOKUP( T_ApifImport[[#This Row],[ld]], T_Aop[], 4, 0)</f>
        <v>304</v>
      </c>
      <c r="D2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6">
        <f>VLOOKUP( T_ApifImport[[#This Row],[ld]], T_Aop[], 4, 0)</f>
        <v>305</v>
      </c>
      <c r="D2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30063501</v>
      </c>
      <c r="F24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32013775</v>
      </c>
      <c r="G2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6">
        <f>VLOOKUP( T_ApifImport[[#This Row],[ld]], T_Aop[], 4, 0)</f>
        <v>306</v>
      </c>
      <c r="D2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29546968</v>
      </c>
      <c r="F24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28052252</v>
      </c>
      <c r="G2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6">
        <f>VLOOKUP( T_ApifImport[[#This Row],[ld]], T_Aop[], 4, 0)</f>
        <v>307</v>
      </c>
      <c r="D2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516533</v>
      </c>
      <c r="F24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3961523</v>
      </c>
      <c r="G2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6">
        <f>VLOOKUP( T_ApifImport[[#This Row],[ld]], T_Aop[], 4, 0)</f>
        <v>308</v>
      </c>
      <c r="D2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6">
        <f>VLOOKUP( T_ApifImport[[#This Row],[ld]], T_Aop[], 4, 0)</f>
        <v>309</v>
      </c>
      <c r="D2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6">
        <f>VLOOKUP( T_ApifImport[[#This Row],[ld]], T_Aop[], 4, 0)</f>
        <v>310</v>
      </c>
      <c r="D2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6">
        <f>VLOOKUP( T_ApifImport[[#This Row],[ld]], T_Aop[], 4, 0)</f>
        <v>311</v>
      </c>
      <c r="D2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6">
        <f>VLOOKUP( T_ApifImport[[#This Row],[ld]], T_Aop[], 4, 0)</f>
        <v>312</v>
      </c>
      <c r="D2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6">
        <f>VLOOKUP( T_ApifImport[[#This Row],[ld]], T_Aop[], 4, 0)</f>
        <v>313</v>
      </c>
      <c r="D2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6">
        <f>VLOOKUP( T_ApifImport[[#This Row],[ld]], T_Aop[], 4, 0)</f>
        <v>314</v>
      </c>
      <c r="D2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6">
        <f>VLOOKUP( T_ApifImport[[#This Row],[ld]], T_Aop[], 4, 0)</f>
        <v>315</v>
      </c>
      <c r="D2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6">
        <f>VLOOKUP( T_ApifImport[[#This Row],[ld]], T_Aop[], 4, 0)</f>
        <v>316</v>
      </c>
      <c r="D2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516533</v>
      </c>
      <c r="F25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3961523</v>
      </c>
      <c r="G2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6">
        <f>VLOOKUP( T_ApifImport[[#This Row],[ld]], T_Aop[], 4, 0)</f>
        <v>317</v>
      </c>
      <c r="D2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6">
        <f>VLOOKUP( T_ApifImport[[#This Row],[ld]], T_Aop[], 4, 0)</f>
        <v>318</v>
      </c>
      <c r="D2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6">
        <f>VLOOKUP( T_ApifImport[[#This Row],[ld]], T_Aop[], 4, 0)</f>
        <v>319</v>
      </c>
      <c r="D2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6">
        <f>VLOOKUP( T_ApifImport[[#This Row],[ld]], T_Aop[], 4, 0)</f>
        <v>320</v>
      </c>
      <c r="D2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6">
        <f>VLOOKUP( T_ApifImport[[#This Row],[ld]], T_Aop[], 4, 0)</f>
        <v>321</v>
      </c>
      <c r="D2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6">
        <f>VLOOKUP( T_ApifImport[[#This Row],[ld]], T_Aop[], 4, 0)</f>
        <v>322</v>
      </c>
      <c r="D2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6">
        <f>VLOOKUP( T_ApifImport[[#This Row],[ld]], T_Aop[], 4, 0)</f>
        <v>323</v>
      </c>
      <c r="D2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462</v>
      </c>
      <c r="F26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468</v>
      </c>
      <c r="G2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6">
        <f>VLOOKUP( T_ApifImport[[#This Row],[ld]], T_Aop[], 4, 0)</f>
        <v>324</v>
      </c>
      <c r="D2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455</v>
      </c>
      <c r="F26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454</v>
      </c>
      <c r="G2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6">
        <f>VLOOKUP( T_ApifImport[[#This Row],[ld]], T_Aop[], 4, 0)</f>
        <v>400</v>
      </c>
      <c r="D2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516533</v>
      </c>
      <c r="F26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3961523</v>
      </c>
      <c r="G2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6">
        <f>VLOOKUP( T_ApifImport[[#This Row],[ld]], T_Aop[], 4, 0)</f>
        <v>401</v>
      </c>
      <c r="D2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6">
        <f>VLOOKUP( T_ApifImport[[#This Row],[ld]], T_Aop[], 4, 0)</f>
        <v>402</v>
      </c>
      <c r="D2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6">
        <f>VLOOKUP( T_ApifImport[[#This Row],[ld]], T_Aop[], 4, 0)</f>
        <v>403</v>
      </c>
      <c r="D2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6">
        <f>VLOOKUP( T_ApifImport[[#This Row],[ld]], T_Aop[], 4, 0)</f>
        <v>404</v>
      </c>
      <c r="D2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6">
        <f>VLOOKUP( T_ApifImport[[#This Row],[ld]], T_Aop[], 4, 0)</f>
        <v>405</v>
      </c>
      <c r="D2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6">
        <f>VLOOKUP( T_ApifImport[[#This Row],[ld]], T_Aop[], 4, 0)</f>
        <v>406</v>
      </c>
      <c r="D2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6">
        <f>VLOOKUP( T_ApifImport[[#This Row],[ld]], T_Aop[], 4, 0)</f>
        <v>407</v>
      </c>
      <c r="D2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6">
        <f>VLOOKUP( T_ApifImport[[#This Row],[ld]], T_Aop[], 4, 0)</f>
        <v>408</v>
      </c>
      <c r="D2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6">
        <f>VLOOKUP( T_ApifImport[[#This Row],[ld]], T_Aop[], 4, 0)</f>
        <v>409</v>
      </c>
      <c r="D2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6">
        <f>VLOOKUP( T_ApifImport[[#This Row],[ld]], T_Aop[], 4, 0)</f>
        <v>410</v>
      </c>
      <c r="D2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6">
        <f>VLOOKUP( T_ApifImport[[#This Row],[ld]], T_Aop[], 4, 0)</f>
        <v>411</v>
      </c>
      <c r="D2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6">
        <f>VLOOKUP( T_ApifImport[[#This Row],[ld]], T_Aop[], 4, 0)</f>
        <v>412</v>
      </c>
      <c r="D2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6">
        <f>VLOOKUP( T_ApifImport[[#This Row],[ld]], T_Aop[], 4, 0)</f>
        <v>413</v>
      </c>
      <c r="D2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6">
        <f>VLOOKUP( T_ApifImport[[#This Row],[ld]], T_Aop[], 4, 0)</f>
        <v>414</v>
      </c>
      <c r="D2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6">
        <f>VLOOKUP( T_ApifImport[[#This Row],[ld]], T_Aop[], 4, 0)</f>
        <v>415</v>
      </c>
      <c r="D2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6">
        <f>VLOOKUP( T_ApifImport[[#This Row],[ld]], T_Aop[], 4, 0)</f>
        <v>416</v>
      </c>
      <c r="D2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516533</v>
      </c>
      <c r="F27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3961523</v>
      </c>
      <c r="G2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6">
        <f>VLOOKUP( T_ApifImport[[#This Row],[ld]], T_Aop[], 4, 0)</f>
        <v>417</v>
      </c>
      <c r="D2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2">
        <f>VLOOKUP( T_ApifImport[[#This Row],[Bilans]], T_Bilansi[], 4, 0)</f>
        <v>27</v>
      </c>
      <c r="C281" s="262">
        <f>VLOOKUP( T_ApifImport[[#This Row],[ld]], T_Aop[], 4, 0)</f>
        <v>418</v>
      </c>
      <c r="D2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3">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1">
        <v>283</v>
      </c>
      <c r="P281" s="264" t="s">
        <v>264</v>
      </c>
    </row>
    <row r="282" spans="2:16" x14ac:dyDescent="0.2">
      <c r="B282" s="44">
        <f>VLOOKUP( T_ApifImport[[#This Row],[Bilans]], T_Bilansi[], 4, 0)</f>
        <v>29</v>
      </c>
      <c r="C282" s="226">
        <f>VLOOKUP( T_ApifImport[[#This Row],[ld]], T_Aop[], 4, 0)</f>
        <v>501</v>
      </c>
      <c r="D2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33988269</v>
      </c>
      <c r="F28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36475004</v>
      </c>
      <c r="G2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6">
        <f>VLOOKUP( T_ApifImport[[#This Row],[ld]], T_Aop[], 4, 0)</f>
        <v>502</v>
      </c>
      <c r="D2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33761932</v>
      </c>
      <c r="F28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36315612</v>
      </c>
      <c r="G2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6">
        <f>VLOOKUP( T_ApifImport[[#This Row],[ld]], T_Aop[], 4, 0)</f>
        <v>503</v>
      </c>
      <c r="D2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6">
        <f>VLOOKUP( T_ApifImport[[#This Row],[ld]], T_Aop[], 4, 0)</f>
        <v>504</v>
      </c>
      <c r="D2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6">
        <f>VLOOKUP( T_ApifImport[[#This Row],[ld]], T_Aop[], 4, 0)</f>
        <v>505</v>
      </c>
      <c r="D2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226337</v>
      </c>
      <c r="F28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159392</v>
      </c>
      <c r="G2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6">
        <f>VLOOKUP( T_ApifImport[[#This Row],[ld]], T_Aop[], 4, 0)</f>
        <v>506</v>
      </c>
      <c r="D2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28443509</v>
      </c>
      <c r="F28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31474335</v>
      </c>
      <c r="G2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6">
        <f>VLOOKUP( T_ApifImport[[#This Row],[ld]], T_Aop[], 4, 0)</f>
        <v>507</v>
      </c>
      <c r="D2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12128287</v>
      </c>
      <c r="F28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16185048</v>
      </c>
      <c r="G2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6">
        <f>VLOOKUP( T_ApifImport[[#This Row],[ld]], T_Aop[], 4, 0)</f>
        <v>508</v>
      </c>
      <c r="D2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94700</v>
      </c>
      <c r="F28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133490</v>
      </c>
      <c r="G2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6">
        <f>VLOOKUP( T_ApifImport[[#This Row],[ld]], T_Aop[], 4, 0)</f>
        <v>509</v>
      </c>
      <c r="D2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533936</v>
      </c>
      <c r="F29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419655</v>
      </c>
      <c r="G2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6">
        <f>VLOOKUP( T_ApifImport[[#This Row],[ld]], T_Aop[], 4, 0)</f>
        <v>510</v>
      </c>
      <c r="D2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12352991</v>
      </c>
      <c r="F29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11216170</v>
      </c>
      <c r="G2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6">
        <f>VLOOKUP( T_ApifImport[[#This Row],[ld]], T_Aop[], 4, 0)</f>
        <v>511</v>
      </c>
      <c r="D2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334116</v>
      </c>
      <c r="F29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405872</v>
      </c>
      <c r="G2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6">
        <f>VLOOKUP( T_ApifImport[[#This Row],[ld]], T_Aop[], 4, 0)</f>
        <v>512</v>
      </c>
      <c r="D2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2999479</v>
      </c>
      <c r="F29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3114100</v>
      </c>
      <c r="G2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6">
        <f>VLOOKUP( T_ApifImport[[#This Row],[ld]], T_Aop[], 4, 0)</f>
        <v>513</v>
      </c>
      <c r="D2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5544760</v>
      </c>
      <c r="F29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5000669</v>
      </c>
      <c r="G2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6">
        <f>VLOOKUP( T_ApifImport[[#This Row],[ld]], T_Aop[], 4, 0)</f>
        <v>514</v>
      </c>
      <c r="D2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6">
        <f>VLOOKUP( T_ApifImport[[#This Row],[ld]], T_Aop[], 4, 0)</f>
        <v>515</v>
      </c>
      <c r="D2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18655</v>
      </c>
      <c r="F29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24239</v>
      </c>
      <c r="G2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6">
        <f>VLOOKUP( T_ApifImport[[#This Row],[ld]], T_Aop[], 4, 0)</f>
        <v>516</v>
      </c>
      <c r="D2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6">
        <f>VLOOKUP( T_ApifImport[[#This Row],[ld]], T_Aop[], 4, 0)</f>
        <v>517</v>
      </c>
      <c r="D2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6">
        <f>VLOOKUP( T_ApifImport[[#This Row],[ld]], T_Aop[], 4, 0)</f>
        <v>518</v>
      </c>
      <c r="D2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6">
        <f>VLOOKUP( T_ApifImport[[#This Row],[ld]], T_Aop[], 4, 0)</f>
        <v>519</v>
      </c>
      <c r="D3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6">
        <f>VLOOKUP( T_ApifImport[[#This Row],[ld]], T_Aop[], 4, 0)</f>
        <v>520</v>
      </c>
      <c r="D3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6">
        <f>VLOOKUP( T_ApifImport[[#This Row],[ld]], T_Aop[], 4, 0)</f>
        <v>521</v>
      </c>
      <c r="D3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9091</v>
      </c>
      <c r="G3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6">
        <f>VLOOKUP( T_ApifImport[[#This Row],[ld]], T_Aop[], 4, 0)</f>
        <v>522</v>
      </c>
      <c r="D3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6">
        <f>VLOOKUP( T_ApifImport[[#This Row],[ld]], T_Aop[], 4, 0)</f>
        <v>523</v>
      </c>
      <c r="D3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6">
        <f>VLOOKUP( T_ApifImport[[#This Row],[ld]], T_Aop[], 4, 0)</f>
        <v>524</v>
      </c>
      <c r="D3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6">
        <f>VLOOKUP( T_ApifImport[[#This Row],[ld]], T_Aop[], 4, 0)</f>
        <v>525</v>
      </c>
      <c r="D3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6">
        <f>VLOOKUP( T_ApifImport[[#This Row],[ld]], T_Aop[], 4, 0)</f>
        <v>526</v>
      </c>
      <c r="D3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6">
        <f>VLOOKUP( T_ApifImport[[#This Row],[ld]], T_Aop[], 4, 0)</f>
        <v>527</v>
      </c>
      <c r="D3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18655</v>
      </c>
      <c r="F3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15148</v>
      </c>
      <c r="G3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6">
        <f>VLOOKUP( T_ApifImport[[#This Row],[ld]], T_Aop[], 4, 0)</f>
        <v>528</v>
      </c>
      <c r="D3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6">
        <f>VLOOKUP( T_ApifImport[[#This Row],[ld]], T_Aop[], 4, 0)</f>
        <v>529</v>
      </c>
      <c r="D3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6">
        <f>VLOOKUP( T_ApifImport[[#This Row],[ld]], T_Aop[], 4, 0)</f>
        <v>530</v>
      </c>
      <c r="D3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6">
        <f>VLOOKUP( T_ApifImport[[#This Row],[ld]], T_Aop[], 4, 0)</f>
        <v>531</v>
      </c>
      <c r="D3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3969101</v>
      </c>
      <c r="F3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1903897</v>
      </c>
      <c r="G3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6">
        <f>VLOOKUP( T_ApifImport[[#This Row],[ld]], T_Aop[], 4, 0)</f>
        <v>532</v>
      </c>
      <c r="D3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6">
        <f>VLOOKUP( T_ApifImport[[#This Row],[ld]], T_Aop[], 4, 0)</f>
        <v>533</v>
      </c>
      <c r="D3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3969101</v>
      </c>
      <c r="F3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1723741</v>
      </c>
      <c r="G3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6">
        <f>VLOOKUP( T_ApifImport[[#This Row],[ld]], T_Aop[], 4, 0)</f>
        <v>534</v>
      </c>
      <c r="D3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6">
        <f>VLOOKUP( T_ApifImport[[#This Row],[ld]], T_Aop[], 4, 0)</f>
        <v>535</v>
      </c>
      <c r="D3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6">
        <f>VLOOKUP( T_ApifImport[[#This Row],[ld]], T_Aop[], 4, 0)</f>
        <v>536</v>
      </c>
      <c r="D3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6">
        <f>VLOOKUP( T_ApifImport[[#This Row],[ld]], T_Aop[], 4, 0)</f>
        <v>537</v>
      </c>
      <c r="D3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6">
        <f>VLOOKUP( T_ApifImport[[#This Row],[ld]], T_Aop[], 4, 0)</f>
        <v>538</v>
      </c>
      <c r="D3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6">
        <f>VLOOKUP( T_ApifImport[[#This Row],[ld]], T_Aop[], 4, 0)</f>
        <v>539</v>
      </c>
      <c r="D3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6">
        <f>VLOOKUP( T_ApifImport[[#This Row],[ld]], T_Aop[], 4, 0)</f>
        <v>540</v>
      </c>
      <c r="D3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6">
        <f>VLOOKUP( T_ApifImport[[#This Row],[ld]], T_Aop[], 4, 0)</f>
        <v>541</v>
      </c>
      <c r="D3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180156</v>
      </c>
      <c r="G3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6">
        <f>VLOOKUP( T_ApifImport[[#This Row],[ld]], T_Aop[], 4, 0)</f>
        <v>542</v>
      </c>
      <c r="D3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6">
        <f>VLOOKUP( T_ApifImport[[#This Row],[ld]], T_Aop[], 4, 0)</f>
        <v>543</v>
      </c>
      <c r="D3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3950446</v>
      </c>
      <c r="F3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1879658</v>
      </c>
      <c r="G3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6">
        <f>VLOOKUP( T_ApifImport[[#This Row],[ld]], T_Aop[], 4, 0)</f>
        <v>544</v>
      </c>
      <c r="D3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9535098</v>
      </c>
      <c r="F3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G3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6">
        <f>VLOOKUP( T_ApifImport[[#This Row],[ld]], T_Aop[], 4, 0)</f>
        <v>545</v>
      </c>
      <c r="D3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6">
        <f>VLOOKUP( T_ApifImport[[#This Row],[ld]], T_Aop[], 4, 0)</f>
        <v>546</v>
      </c>
      <c r="D3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6">
        <f>VLOOKUP( T_ApifImport[[#This Row],[ld]], T_Aop[], 4, 0)</f>
        <v>547</v>
      </c>
      <c r="D3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9535098</v>
      </c>
      <c r="F3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6">
        <f>VLOOKUP( T_ApifImport[[#This Row],[ld]], T_Aop[], 4, 0)</f>
        <v>548</v>
      </c>
      <c r="D3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G3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6">
        <f>VLOOKUP( T_ApifImport[[#This Row],[ld]], T_Aop[], 4, 0)</f>
        <v>549</v>
      </c>
      <c r="D3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6">
        <f>VLOOKUP( T_ApifImport[[#This Row],[ld]], T_Aop[], 4, 0)</f>
        <v>550</v>
      </c>
      <c r="D3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6">
        <f>VLOOKUP( T_ApifImport[[#This Row],[ld]], T_Aop[], 4, 0)</f>
        <v>551</v>
      </c>
      <c r="D3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12242438</v>
      </c>
      <c r="F3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2819951</v>
      </c>
      <c r="G3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6">
        <f>VLOOKUP( T_ApifImport[[#This Row],[ld]], T_Aop[], 4, 0)</f>
        <v>552</v>
      </c>
      <c r="D3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6">
        <f>VLOOKUP( T_ApifImport[[#This Row],[ld]], T_Aop[], 4, 0)</f>
        <v>553</v>
      </c>
      <c r="D3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11548405</v>
      </c>
      <c r="F3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2811675</v>
      </c>
      <c r="G3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6">
        <f>VLOOKUP( T_ApifImport[[#This Row],[ld]], T_Aop[], 4, 0)</f>
        <v>554</v>
      </c>
      <c r="D3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6">
        <f>VLOOKUP( T_ApifImport[[#This Row],[ld]], T_Aop[], 4, 0)</f>
        <v>555</v>
      </c>
      <c r="D3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23501</v>
      </c>
      <c r="F3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8276</v>
      </c>
      <c r="G3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6">
        <f>VLOOKUP( T_ApifImport[[#This Row],[ld]], T_Aop[], 4, 0)</f>
        <v>556</v>
      </c>
      <c r="D3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670532</v>
      </c>
      <c r="F3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6">
        <f>VLOOKUP( T_ApifImport[[#This Row],[ld]], T_Aop[], 4, 0)</f>
        <v>557</v>
      </c>
      <c r="D3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6">
        <f>VLOOKUP( T_ApifImport[[#This Row],[ld]], T_Aop[], 4, 0)</f>
        <v>558</v>
      </c>
      <c r="D3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6">
        <f>VLOOKUP( T_ApifImport[[#This Row],[ld]], T_Aop[], 4, 0)</f>
        <v>559</v>
      </c>
      <c r="D3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6">
        <f>VLOOKUP( T_ApifImport[[#This Row],[ld]], T_Aop[], 4, 0)</f>
        <v>560</v>
      </c>
      <c r="D3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2707340</v>
      </c>
      <c r="F3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2645951</v>
      </c>
      <c r="G3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6">
        <f>VLOOKUP( T_ApifImport[[#This Row],[ld]], T_Aop[], 4, 0)</f>
        <v>561</v>
      </c>
      <c r="D3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43542022</v>
      </c>
      <c r="F3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36673243</v>
      </c>
      <c r="G3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6">
        <f>VLOOKUP( T_ApifImport[[#This Row],[ld]], T_Aop[], 4, 0)</f>
        <v>562</v>
      </c>
      <c r="D3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44655048</v>
      </c>
      <c r="F3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36198183</v>
      </c>
      <c r="G3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6">
        <f>VLOOKUP( T_ApifImport[[#This Row],[ld]], T_Aop[], 4, 0)</f>
        <v>563</v>
      </c>
      <c r="D3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475060</v>
      </c>
      <c r="G3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6">
        <f>VLOOKUP( T_ApifImport[[#This Row],[ld]], T_Aop[], 4, 0)</f>
        <v>564</v>
      </c>
      <c r="D3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1113026</v>
      </c>
      <c r="F3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6">
        <f>VLOOKUP( T_ApifImport[[#This Row],[ld]], T_Aop[], 4, 0)</f>
        <v>565</v>
      </c>
      <c r="D3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3927221</v>
      </c>
      <c r="F3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4331847</v>
      </c>
      <c r="G3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6">
        <f>VLOOKUP( T_ApifImport[[#This Row],[ld]], T_Aop[], 4, 0)</f>
        <v>566</v>
      </c>
      <c r="D3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6">
        <f>VLOOKUP( T_ApifImport[[#This Row],[ld]], T_Aop[], 4, 0)</f>
        <v>567</v>
      </c>
      <c r="D3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2">
        <f>VLOOKUP( T_ApifImport[[#This Row],[Bilans]], T_Bilansi[], 4, 0)</f>
        <v>29</v>
      </c>
      <c r="C349" s="226">
        <f>VLOOKUP( T_ApifImport[[#This Row],[ld]], T_Aop[], 4, 0)</f>
        <v>568</v>
      </c>
      <c r="D3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2814195</v>
      </c>
      <c r="F3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4806907</v>
      </c>
      <c r="G3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6">
        <f>VLOOKUP( T_ApifImport[[#This Row],[ld]], T_Aop[], 4, 0)</f>
        <v>601</v>
      </c>
      <c r="D3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6">
        <f>VLOOKUP( T_ApifImport[[#This Row],[ld]], T_Aop[], 4, 0)</f>
        <v>602</v>
      </c>
      <c r="D3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6">
        <f>VLOOKUP( T_ApifImport[[#This Row],[ld]], T_Aop[], 4, 0)</f>
        <v>603</v>
      </c>
      <c r="D3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6">
        <f>VLOOKUP( T_ApifImport[[#This Row],[ld]], T_Aop[], 4, 0)</f>
        <v>604</v>
      </c>
      <c r="D3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6">
        <f>VLOOKUP( T_ApifImport[[#This Row],[ld]], T_Aop[], 4, 0)</f>
        <v>605</v>
      </c>
      <c r="D3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6">
        <f>VLOOKUP( T_ApifImport[[#This Row],[ld]], T_Aop[], 4, 0)</f>
        <v>606</v>
      </c>
      <c r="D3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6">
        <f>VLOOKUP( T_ApifImport[[#This Row],[ld]], T_Aop[], 4, 0)</f>
        <v>607</v>
      </c>
      <c r="D3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6">
        <f>VLOOKUP( T_ApifImport[[#This Row],[ld]], T_Aop[], 4, 0)</f>
        <v>608</v>
      </c>
      <c r="D3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6">
        <f>VLOOKUP( T_ApifImport[[#This Row],[ld]], T_Aop[], 4, 0)</f>
        <v>609</v>
      </c>
      <c r="D3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6">
        <f>VLOOKUP( T_ApifImport[[#This Row],[ld]], T_Aop[], 4, 0)</f>
        <v>610</v>
      </c>
      <c r="D3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6">
        <f>VLOOKUP( T_ApifImport[[#This Row],[ld]], T_Aop[], 4, 0)</f>
        <v>611</v>
      </c>
      <c r="D3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6">
        <f>VLOOKUP( T_ApifImport[[#This Row],[ld]], T_Aop[], 4, 0)</f>
        <v>612</v>
      </c>
      <c r="D3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6">
        <f>VLOOKUP( T_ApifImport[[#This Row],[ld]], T_Aop[], 4, 0)</f>
        <v>613</v>
      </c>
      <c r="D3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6">
        <f>VLOOKUP( T_ApifImport[[#This Row],[ld]], T_Aop[], 4, 0)</f>
        <v>614</v>
      </c>
      <c r="D3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6">
        <f>VLOOKUP( T_ApifImport[[#This Row],[ld]], T_Aop[], 4, 0)</f>
        <v>615</v>
      </c>
      <c r="D3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6">
        <f>VLOOKUP( T_ApifImport[[#This Row],[ld]], T_Aop[], 4, 0)</f>
        <v>616</v>
      </c>
      <c r="D3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6">
        <f>VLOOKUP( T_ApifImport[[#This Row],[ld]], T_Aop[], 4, 0)</f>
        <v>617</v>
      </c>
      <c r="D3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6">
        <f>VLOOKUP( T_ApifImport[[#This Row],[ld]], T_Aop[], 4, 0)</f>
        <v>618</v>
      </c>
      <c r="D3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6">
        <f>VLOOKUP( T_ApifImport[[#This Row],[ld]], T_Aop[], 4, 0)</f>
        <v>619</v>
      </c>
      <c r="D3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6">
        <f>VLOOKUP( T_ApifImport[[#This Row],[ld]], T_Aop[], 4, 0)</f>
        <v>620</v>
      </c>
      <c r="D3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6">
        <f>VLOOKUP( T_ApifImport[[#This Row],[ld]], T_Aop[], 4, 0)</f>
        <v>621</v>
      </c>
      <c r="D3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6">
        <f>VLOOKUP( T_ApifImport[[#This Row],[ld]], T_Aop[], 4, 0)</f>
        <v>622</v>
      </c>
      <c r="D3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6">
        <f>VLOOKUP( T_ApifImport[[#This Row],[ld]], T_Aop[], 4, 0)</f>
        <v>623</v>
      </c>
      <c r="D3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6">
        <f>VLOOKUP( T_ApifImport[[#This Row],[ld]], T_Aop[], 4, 0)</f>
        <v>624</v>
      </c>
      <c r="D3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6">
        <f>VLOOKUP( T_ApifImport[[#This Row],[ld]], T_Aop[], 4, 0)</f>
        <v>625</v>
      </c>
      <c r="D3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6">
        <f>VLOOKUP( T_ApifImport[[#This Row],[ld]], T_Aop[], 4, 0)</f>
        <v>626</v>
      </c>
      <c r="D3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6">
        <f>VLOOKUP( T_ApifImport[[#This Row],[ld]], T_Aop[], 4, 0)</f>
        <v>627</v>
      </c>
      <c r="D3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6">
        <f>VLOOKUP( T_ApifImport[[#This Row],[ld]], T_Aop[], 4, 0)</f>
        <v>628</v>
      </c>
      <c r="D3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6">
        <f>VLOOKUP( T_ApifImport[[#This Row],[ld]], T_Aop[], 4, 0)</f>
        <v>629</v>
      </c>
      <c r="D3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6">
        <f>VLOOKUP( T_ApifImport[[#This Row],[ld]], T_Aop[], 4, 0)</f>
        <v>630</v>
      </c>
      <c r="D3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6">
        <f>VLOOKUP( T_ApifImport[[#This Row],[ld]], T_Aop[], 4, 0)</f>
        <v>631</v>
      </c>
      <c r="D3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6">
        <f>VLOOKUP( T_ApifImport[[#This Row],[ld]], T_Aop[], 4, 0)</f>
        <v>632</v>
      </c>
      <c r="D3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6">
        <f>VLOOKUP( T_ApifImport[[#This Row],[ld]], T_Aop[], 4, 0)</f>
        <v>633</v>
      </c>
      <c r="D3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6">
        <f>VLOOKUP( T_ApifImport[[#This Row],[ld]], T_Aop[], 4, 0)</f>
        <v>634</v>
      </c>
      <c r="D3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6">
        <f>VLOOKUP( T_ApifImport[[#This Row],[ld]], T_Aop[], 4, 0)</f>
        <v>635</v>
      </c>
      <c r="D3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6">
        <f>VLOOKUP( T_ApifImport[[#This Row],[ld]], T_Aop[], 4, 0)</f>
        <v>636</v>
      </c>
      <c r="D3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6">
        <f>VLOOKUP( T_ApifImport[[#This Row],[ld]], T_Aop[], 4, 0)</f>
        <v>637</v>
      </c>
      <c r="D3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6">
        <f>VLOOKUP( T_ApifImport[[#This Row],[ld]], T_Aop[], 4, 0)</f>
        <v>638</v>
      </c>
      <c r="D3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6">
        <f>VLOOKUP( T_ApifImport[[#This Row],[ld]], T_Aop[], 4, 0)</f>
        <v>639</v>
      </c>
      <c r="D3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6">
        <f>VLOOKUP( T_ApifImport[[#This Row],[ld]], T_Aop[], 4, 0)</f>
        <v>640</v>
      </c>
      <c r="D3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6">
        <f>VLOOKUP( T_ApifImport[[#This Row],[ld]], T_Aop[], 4, 0)</f>
        <v>641</v>
      </c>
      <c r="D3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6">
        <f>VLOOKUP( T_ApifImport[[#This Row],[ld]], T_Aop[], 4, 0)</f>
        <v>642</v>
      </c>
      <c r="D3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6">
        <f>VLOOKUP( T_ApifImport[[#This Row],[ld]], T_Aop[], 4, 0)</f>
        <v>643</v>
      </c>
      <c r="D3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6">
        <f>VLOOKUP( T_ApifImport[[#This Row],[ld]], T_Aop[], 4, 0)</f>
        <v>644</v>
      </c>
      <c r="D3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6">
        <f>VLOOKUP( T_ApifImport[[#This Row],[ld]], T_Aop[], 4, 0)</f>
        <v>645</v>
      </c>
      <c r="D3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6">
        <f>VLOOKUP( T_ApifImport[[#This Row],[ld]], T_Aop[], 4, 0)</f>
        <v>646</v>
      </c>
      <c r="D3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6">
        <f>VLOOKUP( T_ApifImport[[#This Row],[ld]], T_Aop[], 4, 0)</f>
        <v>647</v>
      </c>
      <c r="D3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6">
        <f>VLOOKUP( T_ApifImport[[#This Row],[ld]], T_Aop[], 4, 0)</f>
        <v>648</v>
      </c>
      <c r="D3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6">
        <f>VLOOKUP( T_ApifImport[[#This Row],[ld]], T_Aop[], 4, 0)</f>
        <v>649</v>
      </c>
      <c r="D3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6">
        <f>VLOOKUP( T_ApifImport[[#This Row],[ld]], T_Aop[], 4, 0)</f>
        <v>650</v>
      </c>
      <c r="D3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6">
        <f>VLOOKUP( T_ApifImport[[#This Row],[ld]], T_Aop[], 4, 0)</f>
        <v>651</v>
      </c>
      <c r="D4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6">
        <f>VLOOKUP( T_ApifImport[[#This Row],[ld]], T_Aop[], 4, 0)</f>
        <v>652</v>
      </c>
      <c r="D4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6">
        <f>VLOOKUP( T_ApifImport[[#This Row],[ld]], T_Aop[], 4, 0)</f>
        <v>653</v>
      </c>
      <c r="D4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6">
        <f>VLOOKUP( T_ApifImport[[#This Row],[ld]], T_Aop[], 4, 0)</f>
        <v>654</v>
      </c>
      <c r="D4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6">
        <f>VLOOKUP( T_ApifImport[[#This Row],[ld]], T_Aop[], 4, 0)</f>
        <v>655</v>
      </c>
      <c r="D4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6">
        <f>VLOOKUP( T_ApifImport[[#This Row],[ld]], T_Aop[], 4, 0)</f>
        <v>656</v>
      </c>
      <c r="D4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6">
        <f>VLOOKUP( T_ApifImport[[#This Row],[ld]], T_Aop[], 4, 0)</f>
        <v>657</v>
      </c>
      <c r="D4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6">
        <f>VLOOKUP( T_ApifImport[[#This Row],[ld]], T_Aop[], 4, 0)</f>
        <v>658</v>
      </c>
      <c r="D4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6">
        <f>VLOOKUP( T_ApifImport[[#This Row],[ld]], T_Aop[], 4, 0)</f>
        <v>659</v>
      </c>
      <c r="D4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6">
        <f>VLOOKUP( T_ApifImport[[#This Row],[ld]], T_Aop[], 4, 0)</f>
        <v>660</v>
      </c>
      <c r="D4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6">
        <f>VLOOKUP( T_ApifImport[[#This Row],[ld]], T_Aop[], 4, 0)</f>
        <v>661</v>
      </c>
      <c r="D4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6">
        <f>VLOOKUP( T_ApifImport[[#This Row],[ld]], T_Aop[], 4, 0)</f>
        <v>662</v>
      </c>
      <c r="D4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6">
        <f>VLOOKUP( T_ApifImport[[#This Row],[ld]], T_Aop[], 4, 0)</f>
        <v>663</v>
      </c>
      <c r="D4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6">
        <f>VLOOKUP( T_ApifImport[[#This Row],[ld]], T_Aop[], 4, 0)</f>
        <v>664</v>
      </c>
      <c r="D4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6">
        <f>VLOOKUP( T_ApifImport[[#This Row],[ld]], T_Aop[], 4, 0)</f>
        <v>665</v>
      </c>
      <c r="D4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6">
        <f>VLOOKUP( T_ApifImport[[#This Row],[ld]], T_Aop[], 4, 0)</f>
        <v>666</v>
      </c>
      <c r="D4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2">
        <f>VLOOKUP( T_ApifImport[[#This Row],[Bilans]], T_Bilansi[], 4, 0)</f>
        <v>28</v>
      </c>
      <c r="C416" s="262">
        <f>VLOOKUP( T_ApifImport[[#This Row],[ld]], T_Aop[], 4, 0)</f>
        <v>667</v>
      </c>
      <c r="D416" s="262"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6">
        <f>VLOOKUP( T_ApifImport[[#This Row],[ld]], T_Aop[], 4, 0)</f>
        <v>901</v>
      </c>
      <c r="D4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9006387</v>
      </c>
      <c r="H41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1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37454440</v>
      </c>
      <c r="L41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92116534</v>
      </c>
      <c r="M41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92116534</v>
      </c>
      <c r="O417" s="8">
        <v>420</v>
      </c>
      <c r="P417" s="564" t="s">
        <v>135</v>
      </c>
    </row>
    <row r="418" spans="2:16" x14ac:dyDescent="0.2">
      <c r="B418" s="44">
        <f>VLOOKUP( T_ApifImport[[#This Row],[Bilans]], T_Bilansi[], 4, 0)</f>
        <v>30</v>
      </c>
      <c r="C418" s="226">
        <f>VLOOKUP( T_ApifImport[[#This Row],[ld]], T_Aop[], 4, 0)</f>
        <v>902</v>
      </c>
      <c r="D4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4" t="s">
        <v>135</v>
      </c>
    </row>
    <row r="419" spans="2:16" x14ac:dyDescent="0.2">
      <c r="B419" s="44">
        <f>VLOOKUP( T_ApifImport[[#This Row],[Bilans]], T_Bilansi[], 4, 0)</f>
        <v>30</v>
      </c>
      <c r="C419" s="226">
        <f>VLOOKUP( T_ApifImport[[#This Row],[ld]], T_Aop[], 4, 0)</f>
        <v>903</v>
      </c>
      <c r="D4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H41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L41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4" t="s">
        <v>135</v>
      </c>
    </row>
    <row r="420" spans="2:16" x14ac:dyDescent="0.2">
      <c r="B420" s="44">
        <f>VLOOKUP( T_ApifImport[[#This Row],[Bilans]], T_Bilansi[], 4, 0)</f>
        <v>30</v>
      </c>
      <c r="C420" s="226">
        <f>VLOOKUP( T_ApifImport[[#This Row],[ld]], T_Aop[], 4, 0)</f>
        <v>904</v>
      </c>
      <c r="D4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9162834</v>
      </c>
      <c r="H42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2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37297993</v>
      </c>
      <c r="L42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92116534</v>
      </c>
      <c r="M42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92116534</v>
      </c>
      <c r="O420" s="8">
        <v>424</v>
      </c>
      <c r="P420" s="564" t="s">
        <v>135</v>
      </c>
    </row>
    <row r="421" spans="2:16" x14ac:dyDescent="0.2">
      <c r="B421" s="44">
        <f>VLOOKUP( T_ApifImport[[#This Row],[Bilans]], T_Bilansi[], 4, 0)</f>
        <v>30</v>
      </c>
      <c r="C421" s="226">
        <f>VLOOKUP( T_ApifImport[[#This Row],[ld]], T_Aop[], 4, 0)</f>
        <v>905</v>
      </c>
      <c r="D4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3207175</v>
      </c>
      <c r="L42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3207175</v>
      </c>
      <c r="M42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3207175</v>
      </c>
      <c r="O421" s="8">
        <v>426</v>
      </c>
      <c r="P421" s="564" t="s">
        <v>135</v>
      </c>
    </row>
    <row r="422" spans="2:16" x14ac:dyDescent="0.2">
      <c r="B422" s="44">
        <f>VLOOKUP( T_ApifImport[[#This Row],[Bilans]], T_Bilansi[], 4, 0)</f>
        <v>30</v>
      </c>
      <c r="C422" s="226">
        <f>VLOOKUP( T_ApifImport[[#This Row],[ld]], T_Aop[], 4, 0)</f>
        <v>906</v>
      </c>
      <c r="D4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L42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4" t="s">
        <v>135</v>
      </c>
    </row>
    <row r="423" spans="2:16" x14ac:dyDescent="0.2">
      <c r="B423" s="44">
        <f>VLOOKUP( T_ApifImport[[#This Row],[Bilans]], T_Bilansi[], 4, 0)</f>
        <v>30</v>
      </c>
      <c r="C423" s="226">
        <f>VLOOKUP( T_ApifImport[[#This Row],[ld]], T_Aop[], 4, 0)</f>
        <v>907</v>
      </c>
      <c r="D4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5527265</v>
      </c>
      <c r="L42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3207175</v>
      </c>
      <c r="M42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3207175</v>
      </c>
      <c r="O423" s="8">
        <v>428</v>
      </c>
      <c r="P423" s="564" t="s">
        <v>135</v>
      </c>
    </row>
    <row r="424" spans="2:16" x14ac:dyDescent="0.2">
      <c r="B424" s="44">
        <f>VLOOKUP( T_ApifImport[[#This Row],[Bilans]], T_Bilansi[], 4, 0)</f>
        <v>30</v>
      </c>
      <c r="C424" s="226">
        <f>VLOOKUP( T_ApifImport[[#This Row],[ld]], T_Aop[], 4, 0)</f>
        <v>908</v>
      </c>
      <c r="D4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4" t="s">
        <v>135</v>
      </c>
    </row>
    <row r="425" spans="2:16" x14ac:dyDescent="0.2">
      <c r="B425" s="44">
        <f>VLOOKUP( T_ApifImport[[#This Row],[Bilans]], T_Bilansi[], 4, 0)</f>
        <v>30</v>
      </c>
      <c r="C425" s="226">
        <f>VLOOKUP( T_ApifImport[[#This Row],[ld]], T_Aop[], 4, 0)</f>
        <v>909</v>
      </c>
      <c r="D4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4" t="s">
        <v>135</v>
      </c>
    </row>
    <row r="426" spans="2:16" x14ac:dyDescent="0.2">
      <c r="B426" s="44">
        <f>VLOOKUP( T_ApifImport[[#This Row],[Bilans]], T_Bilansi[], 4, 0)</f>
        <v>30</v>
      </c>
      <c r="C426" s="226">
        <f>VLOOKUP( T_ApifImport[[#This Row],[ld]], T_Aop[], 4, 0)</f>
        <v>910</v>
      </c>
      <c r="D4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4" t="s">
        <v>135</v>
      </c>
    </row>
    <row r="427" spans="2:16" x14ac:dyDescent="0.2">
      <c r="B427" s="44">
        <f>VLOOKUP( T_ApifImport[[#This Row],[Bilans]], T_Bilansi[], 4, 0)</f>
        <v>30</v>
      </c>
      <c r="C427" s="226">
        <f>VLOOKUP( T_ApifImport[[#This Row],[ld]], T_Aop[], 4, 0)</f>
        <v>911</v>
      </c>
      <c r="D4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345572</v>
      </c>
      <c r="H42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-422154</v>
      </c>
      <c r="L42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-76582</v>
      </c>
      <c r="M42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-76582</v>
      </c>
      <c r="O427" s="8">
        <v>433</v>
      </c>
      <c r="P427" s="564" t="s">
        <v>135</v>
      </c>
    </row>
    <row r="428" spans="2:16" x14ac:dyDescent="0.2">
      <c r="B428" s="44">
        <f>VLOOKUP( T_ApifImport[[#This Row],[Bilans]], T_Bilansi[], 4, 0)</f>
        <v>30</v>
      </c>
      <c r="C428" s="226">
        <f>VLOOKUP( T_ApifImport[[#This Row],[ld]], T_Aop[], 4, 0)</f>
        <v>912</v>
      </c>
      <c r="D4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3949229</v>
      </c>
      <c r="H42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I42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101139</v>
      </c>
      <c r="L42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M42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O428" s="8">
        <v>434</v>
      </c>
      <c r="P428" s="564" t="s">
        <v>135</v>
      </c>
    </row>
    <row r="429" spans="2:16" x14ac:dyDescent="0.2">
      <c r="B429" s="44">
        <f>VLOOKUP( T_ApifImport[[#This Row],[Bilans]], T_Bilansi[], 4, 0)</f>
        <v>30</v>
      </c>
      <c r="C429" s="226">
        <f>VLOOKUP( T_ApifImport[[#This Row],[ld]], T_Aop[], 4, 0)</f>
        <v>913</v>
      </c>
      <c r="D4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13457635</v>
      </c>
      <c r="H4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2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42504243</v>
      </c>
      <c r="L42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2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29" s="8">
        <v>436</v>
      </c>
      <c r="P429" s="564" t="s">
        <v>135</v>
      </c>
    </row>
    <row r="430" spans="2:16" x14ac:dyDescent="0.2">
      <c r="B430" s="44">
        <f>VLOOKUP( T_ApifImport[[#This Row],[Bilans]], T_Bilansi[], 4, 0)</f>
        <v>30</v>
      </c>
      <c r="C430" s="226">
        <f>VLOOKUP( T_ApifImport[[#This Row],[ld]], T_Aop[], 4, 0)</f>
        <v>914</v>
      </c>
      <c r="D4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4" t="s">
        <v>135</v>
      </c>
    </row>
    <row r="431" spans="2:16" x14ac:dyDescent="0.2">
      <c r="B431" s="44">
        <f>VLOOKUP( T_ApifImport[[#This Row],[Bilans]], T_Bilansi[], 4, 0)</f>
        <v>30</v>
      </c>
      <c r="C431" s="226">
        <f>VLOOKUP( T_ApifImport[[#This Row],[ld]], T_Aop[], 4, 0)</f>
        <v>915</v>
      </c>
      <c r="D4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4" t="s">
        <v>135</v>
      </c>
    </row>
    <row r="432" spans="2:16" x14ac:dyDescent="0.2">
      <c r="B432" s="44">
        <f>VLOOKUP( T_ApifImport[[#This Row],[Bilans]], T_Bilansi[], 4, 0)</f>
        <v>30</v>
      </c>
      <c r="C432" s="226">
        <f>VLOOKUP( T_ApifImport[[#This Row],[ld]], T_Aop[], 4, 0)</f>
        <v>916</v>
      </c>
      <c r="D4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13457635</v>
      </c>
      <c r="H4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3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42504243</v>
      </c>
      <c r="L43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3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32" s="8">
        <v>440</v>
      </c>
      <c r="P432" s="564" t="s">
        <v>135</v>
      </c>
    </row>
    <row r="433" spans="2:16" x14ac:dyDescent="0.2">
      <c r="B433" s="44">
        <f>VLOOKUP( T_ApifImport[[#This Row],[Bilans]], T_Bilansi[], 4, 0)</f>
        <v>30</v>
      </c>
      <c r="C433" s="226">
        <f>VLOOKUP( T_ApifImport[[#This Row],[ld]], T_Aop[], 4, 0)</f>
        <v>917</v>
      </c>
      <c r="D4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516533</v>
      </c>
      <c r="L43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516533</v>
      </c>
      <c r="M43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516533</v>
      </c>
      <c r="O433" s="8">
        <v>442</v>
      </c>
      <c r="P433" s="564" t="s">
        <v>135</v>
      </c>
    </row>
    <row r="434" spans="2:16" x14ac:dyDescent="0.2">
      <c r="B434" s="44">
        <f>VLOOKUP( T_ApifImport[[#This Row],[Bilans]], T_Bilansi[], 4, 0)</f>
        <v>30</v>
      </c>
      <c r="C434" s="226">
        <f>VLOOKUP( T_ApifImport[[#This Row],[ld]], T_Aop[], 4, 0)</f>
        <v>918</v>
      </c>
      <c r="D4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4" t="s">
        <v>135</v>
      </c>
    </row>
    <row r="435" spans="2:16" x14ac:dyDescent="0.2">
      <c r="B435" s="44">
        <f>VLOOKUP( T_ApifImport[[#This Row],[Bilans]], T_Bilansi[], 4, 0)</f>
        <v>30</v>
      </c>
      <c r="C435" s="226">
        <f>VLOOKUP( T_ApifImport[[#This Row],[ld]], T_Aop[], 4, 0)</f>
        <v>919</v>
      </c>
      <c r="D4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516533</v>
      </c>
      <c r="L43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516533</v>
      </c>
      <c r="M43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516533</v>
      </c>
      <c r="O435" s="8">
        <v>444</v>
      </c>
      <c r="P435" s="564" t="s">
        <v>135</v>
      </c>
    </row>
    <row r="436" spans="2:16" x14ac:dyDescent="0.2">
      <c r="B436" s="44">
        <f>VLOOKUP( T_ApifImport[[#This Row],[Bilans]], T_Bilansi[], 4, 0)</f>
        <v>30</v>
      </c>
      <c r="C436" s="226">
        <f>VLOOKUP( T_ApifImport[[#This Row],[ld]], T_Aop[], 4, 0)</f>
        <v>920</v>
      </c>
      <c r="D4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4" t="s">
        <v>135</v>
      </c>
    </row>
    <row r="437" spans="2:16" x14ac:dyDescent="0.2">
      <c r="B437" s="44">
        <f>VLOOKUP( T_ApifImport[[#This Row],[Bilans]], T_Bilansi[], 4, 0)</f>
        <v>30</v>
      </c>
      <c r="C437" s="226">
        <f>VLOOKUP( T_ApifImport[[#This Row],[ld]], T_Aop[], 4, 0)</f>
        <v>921</v>
      </c>
      <c r="D4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4" t="s">
        <v>135</v>
      </c>
    </row>
    <row r="438" spans="2:16" x14ac:dyDescent="0.2">
      <c r="B438" s="44">
        <f>VLOOKUP( T_ApifImport[[#This Row],[Bilans]], T_Bilansi[], 4, 0)</f>
        <v>30</v>
      </c>
      <c r="C438" s="226">
        <f>VLOOKUP( T_ApifImport[[#This Row],[ld]], T_Aop[], 4, 0)</f>
        <v>922</v>
      </c>
      <c r="D4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4" t="s">
        <v>135</v>
      </c>
    </row>
    <row r="439" spans="2:16" x14ac:dyDescent="0.2">
      <c r="B439" s="44">
        <f>VLOOKUP( T_ApifImport[[#This Row],[Bilans]], T_Bilansi[], 4, 0)</f>
        <v>30</v>
      </c>
      <c r="C439" s="226">
        <f>VLOOKUP( T_ApifImport[[#This Row],[ld]], T_Aop[], 4, 0)</f>
        <v>923</v>
      </c>
      <c r="D4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301335</v>
      </c>
      <c r="H4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-362601</v>
      </c>
      <c r="L43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-61266</v>
      </c>
      <c r="M43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-61266</v>
      </c>
      <c r="O439" s="8">
        <v>449</v>
      </c>
      <c r="P439" s="564" t="s">
        <v>135</v>
      </c>
    </row>
    <row r="440" spans="2:16" x14ac:dyDescent="0.2">
      <c r="B440" s="44">
        <f>VLOOKUP( T_ApifImport[[#This Row],[Bilans]], T_Bilansi[], 4, 0)</f>
        <v>30</v>
      </c>
      <c r="C440" s="226">
        <f>VLOOKUP( T_ApifImport[[#This Row],[ld]], T_Aop[], 4, 0)</f>
        <v>924</v>
      </c>
      <c r="D4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1170685</v>
      </c>
      <c r="H4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-2157</v>
      </c>
      <c r="L44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1168528</v>
      </c>
      <c r="M44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1168528</v>
      </c>
      <c r="O440" s="8">
        <v>450</v>
      </c>
      <c r="P440" s="564" t="s">
        <v>135</v>
      </c>
    </row>
    <row r="441" spans="2:16" x14ac:dyDescent="0.2">
      <c r="B441" s="502">
        <f>VLOOKUP( T_ApifImport[[#This Row],[Bilans]], T_Bilansi[], 4, 0)</f>
        <v>30</v>
      </c>
      <c r="C441" s="262">
        <f>VLOOKUP( T_ApifImport[[#This Row],[ld]], T_Aop[], 4, 0)</f>
        <v>925</v>
      </c>
      <c r="D4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14929655</v>
      </c>
      <c r="H441" s="26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41" s="26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42656018</v>
      </c>
      <c r="L441" s="26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100908661</v>
      </c>
      <c r="M441" s="26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100908661</v>
      </c>
      <c r="O441" s="8">
        <v>452</v>
      </c>
      <c r="P441" s="564" t="s">
        <v>135</v>
      </c>
    </row>
  </sheetData>
  <sheetProtection sheet="1" objects="1" scenarios="1"/>
  <phoneticPr fontId="26"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034FA-0054-4D2E-9E6B-859936FD3D24}">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9d6a1510-f1c9-4ab0-a292-402b0f968c06"/>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A1E9B2-1D39-4D11-9D67-477BE640F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2024-10-28T08:55:52Z</cp:lastPrinted>
  <dcterms:created xsi:type="dcterms:W3CDTF">2007-02-19T09:55:19Z</dcterms:created>
  <dcterms:modified xsi:type="dcterms:W3CDTF">2024-10-28T08:55:55Z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